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codeName="{4D1C537B-E38A-612A-F078-A93A15B4B7F4}"/>
  <workbookPr codeName="ThisWorkbook"/>
  <mc:AlternateContent xmlns:mc="http://schemas.openxmlformats.org/markup-compatibility/2006">
    <mc:Choice Requires="x15">
      <x15ac:absPath xmlns:x15ac="http://schemas.microsoft.com/office/spreadsheetml/2010/11/ac" url="D:\00-SPREADSHEET\01- PUBLISHED PRODUCTS\02 - RMS\RMSV7.0\Trial\"/>
    </mc:Choice>
  </mc:AlternateContent>
  <xr:revisionPtr revIDLastSave="0" documentId="13_ncr:1_{5D1D2902-A799-4BF5-914D-7969AB923E7C}" xr6:coauthVersionLast="45" xr6:coauthVersionMax="45" xr10:uidLastSave="{00000000-0000-0000-0000-000000000000}"/>
  <bookViews>
    <workbookView xWindow="-28920" yWindow="-3855" windowWidth="29040" windowHeight="15840" tabRatio="827" xr2:uid="{00000000-000D-0000-FFFF-FFFF00000000}"/>
  </bookViews>
  <sheets>
    <sheet name="HOME" sheetId="10" r:id="rId1"/>
    <sheet name="Dashboard" sheetId="14" state="veryHidden" r:id="rId2"/>
    <sheet name="Sheet2" sheetId="11" state="veryHidden" r:id="rId3"/>
    <sheet name="1-Tranche" sheetId="4" state="veryHidden" r:id="rId4"/>
    <sheet name="3-Tranche" sheetId="5" state="veryHidden" r:id="rId5"/>
    <sheet name="Expectancy" sheetId="8" state="veryHidden" r:id="rId6"/>
    <sheet name="RBAF" sheetId="9" state="veryHidden" r:id="rId7"/>
    <sheet name="Trade Plan" sheetId="12" state="veryHidden" r:id="rId8"/>
    <sheet name="User Guide &amp; Settings" sheetId="6" state="veryHidden" r:id="rId9"/>
    <sheet name="Sheet1" sheetId="1" state="veryHidden" r:id="rId10"/>
  </sheets>
  <externalReferences>
    <externalReference r:id="rId11"/>
    <externalReference r:id="rId12"/>
    <externalReference r:id="rId13"/>
    <externalReference r:id="rId14"/>
    <externalReference r:id="rId15"/>
  </externalReferences>
  <definedNames>
    <definedName name="_xlnm._FilterDatabase" localSheetId="7" hidden="1">'Trade Plan'!$E$13:$Y$13</definedName>
    <definedName name="A1O">'1-Tranche'!$AV$10</definedName>
    <definedName name="AA3O">'[1]2-Stock Position'!$U$13</definedName>
    <definedName name="AA6O">[1]Sheet1!$AA$6</definedName>
    <definedName name="Action">'[2]1-Trade Log'!$F$15:$F$1014</definedName>
    <definedName name="AD">'[2]1-Trade Log'!$AD$15:$AD$1014</definedName>
    <definedName name="Aname">'[1]1-Trade Log'!$G$2</definedName>
    <definedName name="AR1I">'1-Tranche'!$AV$12</definedName>
    <definedName name="AveLoss">Dashboard!$F$14</definedName>
    <definedName name="AvePosLoss">Dashboard!$F$16</definedName>
    <definedName name="AvePosWin">Dashboard!$F$15</definedName>
    <definedName name="AveWin">Dashboard!$F$13</definedName>
    <definedName name="Date">'[2]1-Trade Log'!$D$15:$D$1014</definedName>
    <definedName name="Equity">Dashboard!$F$7</definedName>
    <definedName name="GL" localSheetId="0">'[3]2-Stock Position'!$R$15:$R$114</definedName>
    <definedName name="GL_1">'[4]2-Stock Position'!$R$15:$R$114</definedName>
    <definedName name="list2" localSheetId="0">'[1]1-Trade Log'!$F$15:$F$5014</definedName>
    <definedName name="list2" localSheetId="7">'[5]Trade Log'!$E$15:$E$3000</definedName>
    <definedName name="list2">'[4]1-Trade Log'!$E$15:$E$3000</definedName>
    <definedName name="M1O">'[1]3-Monthly Report'!$T$4</definedName>
    <definedName name="M2O" localSheetId="7">'[5]Monthly Report'!$X$4</definedName>
    <definedName name="M2O">'[4]3-Monthly Report'!$U$4</definedName>
    <definedName name="Nameko" localSheetId="7">'[5]Trade Log'!$F$2</definedName>
    <definedName name="Nameko">'[4]1-Trade Log'!$F$2</definedName>
    <definedName name="PaL">'[2]1-Trade Log'!$U$15:$U$1014</definedName>
    <definedName name="PositionPer">Dashboard!$F$8</definedName>
    <definedName name="REGNAME">'1-Tranche'!$D$2</definedName>
    <definedName name="Return">Dashboard!$F$18</definedName>
    <definedName name="RiskPerTrade">Dashboard!$F$9</definedName>
    <definedName name="S1O">'[1]3-Monthly Report'!$R$22</definedName>
    <definedName name="S2O" localSheetId="7">'[5]Monthly Report'!$W$22</definedName>
    <definedName name="S2O">'[4]3-Monthly Report'!$T$22</definedName>
    <definedName name="SheetIAA6" localSheetId="7">[5]Sheet1!$AA$6</definedName>
    <definedName name="SheetIAA6">[4]Sheet1!$AA$6</definedName>
    <definedName name="SheetII15" localSheetId="0">[4]Sheet1!$I$15:$I$164</definedName>
    <definedName name="SheetII15" localSheetId="7">[5]Sheet1!$I$15:$I$164</definedName>
    <definedName name="SheetII15">[4]Sheet1!$I$15:$I$164</definedName>
    <definedName name="SheetlU13" localSheetId="0">'[3]2-Stock Position'!$U$13</definedName>
    <definedName name="SheetlU13" localSheetId="7">'[5]Stock Position'!$U$13</definedName>
    <definedName name="SheetlU13">'[4]2-Stock Position'!$U$13</definedName>
    <definedName name="SheetlU14" localSheetId="0">'[3]2-Stock Position'!$U$14</definedName>
    <definedName name="SheetlU14" localSheetId="7">'[5]Stock Position'!$U$14</definedName>
    <definedName name="SheetlU14">'[4]2-Stock Position'!$U$14</definedName>
    <definedName name="TS">'[2]1-Trade Log'!$H$15:$H$1014</definedName>
    <definedName name="WinRate">Dashboard!$F$12</definedName>
  </definedNames>
  <calcPr calcId="181029"/>
</workbook>
</file>

<file path=xl/calcChain.xml><?xml version="1.0" encoding="utf-8"?>
<calcChain xmlns="http://schemas.openxmlformats.org/spreadsheetml/2006/main">
  <c r="C73" i="5" l="1"/>
  <c r="G73" i="5" s="1"/>
  <c r="E73" i="5"/>
  <c r="F73" i="5"/>
  <c r="C74" i="5"/>
  <c r="G74" i="5" s="1"/>
  <c r="E74" i="5"/>
  <c r="F74" i="5"/>
  <c r="W18" i="14" l="1"/>
  <c r="W19" i="14"/>
  <c r="T10" i="8"/>
  <c r="E10" i="14"/>
  <c r="AP9" i="5" l="1"/>
  <c r="AO9" i="4" s="1"/>
  <c r="P13" i="9"/>
  <c r="P12" i="9" s="1"/>
  <c r="P11" i="9" s="1"/>
  <c r="P10" i="9" s="1"/>
  <c r="P9" i="9" s="1"/>
  <c r="P8" i="9" s="1"/>
  <c r="P14" i="9"/>
  <c r="P16" i="9"/>
  <c r="P17" i="9" s="1"/>
  <c r="P18" i="9" s="1"/>
  <c r="H7" i="12" l="1"/>
  <c r="AV14" i="4"/>
  <c r="AV15" i="4"/>
  <c r="AV13" i="4"/>
  <c r="G5" i="8" l="1"/>
  <c r="I5" i="8"/>
  <c r="M6" i="9"/>
  <c r="C16" i="9" l="1"/>
  <c r="Z8" i="14" l="1"/>
  <c r="C15" i="9"/>
  <c r="F9" i="9" s="1"/>
  <c r="C14" i="9"/>
  <c r="F8" i="9" s="1"/>
  <c r="M16" i="8"/>
  <c r="O16" i="12"/>
  <c r="O15" i="12"/>
  <c r="F12" i="9" l="1"/>
  <c r="F14" i="9"/>
  <c r="F13" i="9"/>
  <c r="F10" i="9"/>
  <c r="D2" i="14"/>
  <c r="U17" i="9" l="1"/>
  <c r="U16" i="9"/>
  <c r="U18" i="9" s="1"/>
  <c r="W17" i="14"/>
  <c r="F5" i="9" l="1"/>
  <c r="U21" i="9" s="1"/>
  <c r="F6" i="9"/>
  <c r="F15" i="9"/>
  <c r="AA8" i="14" s="1"/>
  <c r="F11" i="9"/>
  <c r="AA12" i="14"/>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2" i="1"/>
  <c r="H8" i="12" l="1"/>
  <c r="G3" i="12" l="1"/>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2" i="1"/>
  <c r="D2" i="5" l="1"/>
  <c r="P15" i="12" l="1"/>
  <c r="AA5" i="12"/>
  <c r="AA4" i="12"/>
  <c r="AK6" i="12"/>
  <c r="AL6" i="12"/>
  <c r="AM6" i="12"/>
  <c r="AK7" i="12"/>
  <c r="AL7" i="12"/>
  <c r="AM7" i="12"/>
  <c r="AK8" i="12"/>
  <c r="AL8" i="12"/>
  <c r="AM8" i="12"/>
  <c r="AK9" i="12"/>
  <c r="AL9" i="12"/>
  <c r="AM9" i="12"/>
  <c r="AJ7" i="12"/>
  <c r="AJ8" i="12"/>
  <c r="AJ9" i="12"/>
  <c r="AJ6" i="12"/>
  <c r="AI7" i="12"/>
  <c r="AI8" i="12"/>
  <c r="AI9" i="12"/>
  <c r="AI6" i="12"/>
  <c r="AH7" i="12"/>
  <c r="AH8" i="12"/>
  <c r="AH9" i="12"/>
  <c r="AH6" i="12"/>
  <c r="AD16" i="12"/>
  <c r="AD15" i="12"/>
  <c r="N16" i="12"/>
  <c r="N15" i="12"/>
  <c r="C16" i="12"/>
  <c r="X5" i="12"/>
  <c r="U5" i="12"/>
  <c r="AS16" i="12" l="1"/>
  <c r="AR15" i="12"/>
  <c r="AG15" i="12"/>
  <c r="AI15" i="12"/>
  <c r="AT16" i="12"/>
  <c r="AT15" i="12"/>
  <c r="AF15" i="12"/>
  <c r="AR16" i="12"/>
  <c r="AQ16" i="12"/>
  <c r="P16" i="12"/>
  <c r="AG16" i="12" s="1"/>
  <c r="R6" i="12"/>
  <c r="AQ15" i="12"/>
  <c r="AH15" i="12"/>
  <c r="AS15" i="12"/>
  <c r="AH16" i="12" l="1"/>
  <c r="AI16" i="12"/>
  <c r="AU16" i="12"/>
  <c r="AU15" i="12"/>
  <c r="AF16" i="12"/>
  <c r="AJ15" i="12"/>
  <c r="Q15" i="12" s="1"/>
  <c r="AL15" i="12" s="1"/>
  <c r="X6" i="12"/>
  <c r="U6" i="12"/>
  <c r="AJ16" i="12" l="1"/>
  <c r="Q16" i="12" s="1"/>
  <c r="AL16" i="12" s="1"/>
  <c r="S16" i="12" s="1"/>
  <c r="L15" i="12"/>
  <c r="K15" i="12"/>
  <c r="AA15" i="12" s="1"/>
  <c r="AN15" i="12" s="1"/>
  <c r="L16" i="12"/>
  <c r="K16" i="12"/>
  <c r="V15" i="12" l="1"/>
  <c r="Z16" i="12"/>
  <c r="R7" i="12"/>
  <c r="R8" i="12"/>
  <c r="AB16" i="12"/>
  <c r="AA16" i="12"/>
  <c r="AN16" i="12" s="1"/>
  <c r="AB15" i="12"/>
  <c r="AP16" i="12" l="1"/>
  <c r="Y16" i="12" s="1"/>
  <c r="AP15" i="12"/>
  <c r="Y15" i="12" s="1"/>
  <c r="AO15" i="12"/>
  <c r="V16" i="12"/>
  <c r="AO16" i="12"/>
  <c r="U8" i="12"/>
  <c r="U9" i="12" s="1"/>
  <c r="X8" i="12" l="1"/>
  <c r="X7" i="12" s="1"/>
  <c r="X10" i="12" s="1"/>
  <c r="U7" i="12"/>
  <c r="U10" i="12" s="1"/>
  <c r="X9" i="12" l="1"/>
  <c r="H14" i="8"/>
  <c r="AA11" i="8" l="1"/>
  <c r="AB11" i="8" s="1"/>
  <c r="Y17" i="8"/>
  <c r="AB17" i="8"/>
  <c r="AA17" i="8"/>
  <c r="AA15" i="8"/>
  <c r="AB15" i="8" s="1"/>
  <c r="I6" i="8"/>
  <c r="I7" i="8"/>
  <c r="I2" i="8"/>
  <c r="G2" i="8"/>
  <c r="I8" i="8" l="1"/>
  <c r="AB22" i="8"/>
  <c r="AB26" i="8"/>
  <c r="AB30" i="8"/>
  <c r="AB34" i="8"/>
  <c r="AB18" i="8"/>
  <c r="AB37" i="8"/>
  <c r="AB19" i="8"/>
  <c r="AB23" i="8"/>
  <c r="AB27" i="8"/>
  <c r="AB31" i="8"/>
  <c r="AB35" i="8"/>
  <c r="AB20" i="8"/>
  <c r="AB24" i="8"/>
  <c r="AB28" i="8"/>
  <c r="AB32" i="8"/>
  <c r="AB36" i="8"/>
  <c r="AB21" i="8"/>
  <c r="AB25" i="8"/>
  <c r="AB29" i="8"/>
  <c r="AB33" i="8"/>
  <c r="G6" i="8"/>
  <c r="G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G106" i="8" s="1"/>
  <c r="Q107" i="8"/>
  <c r="G107" i="8" s="1"/>
  <c r="Q108" i="8"/>
  <c r="G108" i="8" s="1"/>
  <c r="Q109" i="8"/>
  <c r="G109" i="8" s="1"/>
  <c r="Q110" i="8"/>
  <c r="G110" i="8" s="1"/>
  <c r="Q111" i="8"/>
  <c r="G111" i="8" s="1"/>
  <c r="Q112" i="8"/>
  <c r="G112" i="8" s="1"/>
  <c r="Q113" i="8"/>
  <c r="G113" i="8" s="1"/>
  <c r="Q114" i="8"/>
  <c r="G114" i="8" s="1"/>
  <c r="Q115" i="8"/>
  <c r="G115" i="8" s="1"/>
  <c r="Q116" i="8"/>
  <c r="G116" i="8" s="1"/>
  <c r="Q17" i="8"/>
  <c r="G17" i="8" s="1"/>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8" i="8" l="1"/>
  <c r="AC82" i="8"/>
  <c r="AC75" i="8"/>
  <c r="AC76" i="8"/>
  <c r="AC104" i="8"/>
  <c r="AC49" i="8"/>
  <c r="AC31" i="8"/>
  <c r="AC88" i="8"/>
  <c r="AC96" i="8"/>
  <c r="AC50" i="8"/>
  <c r="AC19" i="8"/>
  <c r="AC67" i="8"/>
  <c r="AC71" i="8"/>
  <c r="AC44" i="8"/>
  <c r="AC48" i="8"/>
  <c r="AC21" i="8"/>
  <c r="AC37" i="8"/>
  <c r="AC89" i="8"/>
  <c r="AC34" i="8"/>
  <c r="AC70" i="8"/>
  <c r="AC94" i="8"/>
  <c r="AC60" i="8"/>
  <c r="AC58" i="8"/>
  <c r="AC86" i="8"/>
  <c r="AC98" i="8"/>
  <c r="AC110" i="8"/>
  <c r="AC55" i="8"/>
  <c r="AC61" i="8"/>
  <c r="AC74" i="8"/>
  <c r="AC106" i="8"/>
  <c r="AC23" i="8"/>
  <c r="AC83" i="8"/>
  <c r="AC93" i="8"/>
  <c r="AC109" i="8"/>
  <c r="AC99" i="8"/>
  <c r="AC103" i="8"/>
  <c r="AC52" i="8"/>
  <c r="AC64" i="8"/>
  <c r="AC108" i="8"/>
  <c r="AC40" i="8"/>
  <c r="AC92" i="8"/>
  <c r="AC100" i="8"/>
  <c r="AC46" i="8"/>
  <c r="AC59" i="8"/>
  <c r="AC63" i="8"/>
  <c r="AC112" i="8"/>
  <c r="AC41" i="8"/>
  <c r="AC54" i="8"/>
  <c r="AC39" i="8"/>
  <c r="AC43" i="8"/>
  <c r="AC29" i="8"/>
  <c r="AC69" i="8"/>
  <c r="AC77" i="8"/>
  <c r="AC115" i="8"/>
  <c r="AC28" i="8"/>
  <c r="AC105" i="8"/>
  <c r="AC35" i="8"/>
  <c r="AC113" i="8"/>
  <c r="AC85" i="8"/>
  <c r="AC26" i="8"/>
  <c r="AC30" i="8"/>
  <c r="AC84" i="8"/>
  <c r="AC33" i="8"/>
  <c r="AC18" i="8"/>
  <c r="AC62" i="8"/>
  <c r="AC66" i="8"/>
  <c r="AC78" i="8"/>
  <c r="AC27" i="8"/>
  <c r="AC22" i="8"/>
  <c r="AC95" i="8"/>
  <c r="AC20" i="8"/>
  <c r="AC36" i="8"/>
  <c r="AC38" i="8"/>
  <c r="AC114" i="8"/>
  <c r="AC111" i="8"/>
  <c r="AC80" i="8"/>
  <c r="AC116" i="8"/>
  <c r="AC25" i="8"/>
  <c r="AC102" i="8"/>
  <c r="AC87" i="8"/>
  <c r="AC32" i="8"/>
  <c r="AC56" i="8"/>
  <c r="AC57" i="8"/>
  <c r="AC65" i="8"/>
  <c r="AC97" i="8"/>
  <c r="AC90" i="8"/>
  <c r="AC24" i="8"/>
  <c r="AC68" i="8"/>
  <c r="AC73" i="8"/>
  <c r="AC101" i="8"/>
  <c r="AC17" i="8"/>
  <c r="AC91" i="8"/>
  <c r="AC107" i="8"/>
  <c r="AC72" i="8"/>
  <c r="AC42" i="8"/>
  <c r="AC51" i="8"/>
  <c r="AC45" i="8"/>
  <c r="AC47" i="8"/>
  <c r="AC79" i="8"/>
  <c r="AC53" i="8"/>
  <c r="AC81" i="8"/>
  <c r="W10" i="10"/>
  <c r="B12" i="10" s="1"/>
  <c r="AE17" i="8" l="1"/>
  <c r="AE18" i="8"/>
  <c r="AE19" i="8"/>
  <c r="AE20" i="8"/>
  <c r="AE24" i="8"/>
  <c r="AE28" i="8"/>
  <c r="AE32" i="8"/>
  <c r="AE36" i="8"/>
  <c r="AE40" i="8"/>
  <c r="AE44" i="8"/>
  <c r="AE48" i="8"/>
  <c r="AE52" i="8"/>
  <c r="AE56" i="8"/>
  <c r="AE60" i="8"/>
  <c r="AE64" i="8"/>
  <c r="AE68" i="8"/>
  <c r="AE72" i="8"/>
  <c r="AE76" i="8"/>
  <c r="AE80" i="8"/>
  <c r="AE84" i="8"/>
  <c r="AE88" i="8"/>
  <c r="AE92" i="8"/>
  <c r="AE96" i="8"/>
  <c r="AE100" i="8"/>
  <c r="AE104" i="8"/>
  <c r="AE108" i="8"/>
  <c r="AE112" i="8"/>
  <c r="AE116" i="8"/>
  <c r="AE31" i="8"/>
  <c r="AE39" i="8"/>
  <c r="AE47" i="8"/>
  <c r="AE59" i="8"/>
  <c r="AE67" i="8"/>
  <c r="AE79" i="8"/>
  <c r="AE91" i="8"/>
  <c r="AE99" i="8"/>
  <c r="AE111" i="8"/>
  <c r="AE21" i="8"/>
  <c r="AE25" i="8"/>
  <c r="AE29" i="8"/>
  <c r="AE33" i="8"/>
  <c r="AE37" i="8"/>
  <c r="AE41" i="8"/>
  <c r="AE45" i="8"/>
  <c r="AE49" i="8"/>
  <c r="AE53" i="8"/>
  <c r="AE57" i="8"/>
  <c r="AE61" i="8"/>
  <c r="AE65" i="8"/>
  <c r="AE69" i="8"/>
  <c r="AE73" i="8"/>
  <c r="AE77" i="8"/>
  <c r="AE81" i="8"/>
  <c r="AE85" i="8"/>
  <c r="AE89" i="8"/>
  <c r="AE93" i="8"/>
  <c r="AE97" i="8"/>
  <c r="AE101" i="8"/>
  <c r="AE105" i="8"/>
  <c r="AE109" i="8"/>
  <c r="AE113" i="8"/>
  <c r="AE27" i="8"/>
  <c r="AE55" i="8"/>
  <c r="AE71" i="8"/>
  <c r="AE83" i="8"/>
  <c r="AE95" i="8"/>
  <c r="AE107" i="8"/>
  <c r="AE22" i="8"/>
  <c r="AE26" i="8"/>
  <c r="AE30" i="8"/>
  <c r="AE34" i="8"/>
  <c r="AE38" i="8"/>
  <c r="AE42" i="8"/>
  <c r="AE46" i="8"/>
  <c r="AE50" i="8"/>
  <c r="AE54" i="8"/>
  <c r="AE58" i="8"/>
  <c r="AE62" i="8"/>
  <c r="AE66" i="8"/>
  <c r="AE70" i="8"/>
  <c r="AE74" i="8"/>
  <c r="AE78" i="8"/>
  <c r="AE82" i="8"/>
  <c r="AE86" i="8"/>
  <c r="AE90" i="8"/>
  <c r="AE94" i="8"/>
  <c r="AE98" i="8"/>
  <c r="AE102" i="8"/>
  <c r="AE106" i="8"/>
  <c r="AE110" i="8"/>
  <c r="AE114" i="8"/>
  <c r="AE23" i="8"/>
  <c r="AE35" i="8"/>
  <c r="AE43" i="8"/>
  <c r="AE51" i="8"/>
  <c r="AE63" i="8"/>
  <c r="AE75" i="8"/>
  <c r="AE87" i="8"/>
  <c r="AE103" i="8"/>
  <c r="AE115" i="8"/>
  <c r="AD17" i="8"/>
  <c r="AD18" i="8"/>
  <c r="AD103" i="8"/>
  <c r="AD87" i="8"/>
  <c r="AD71" i="8"/>
  <c r="AD55" i="8"/>
  <c r="AD39" i="8"/>
  <c r="AD23" i="8"/>
  <c r="AD102" i="8"/>
  <c r="AD86" i="8"/>
  <c r="AD70" i="8"/>
  <c r="AD54" i="8"/>
  <c r="AD38" i="8"/>
  <c r="AD22" i="8"/>
  <c r="AD101" i="8"/>
  <c r="AD85" i="8"/>
  <c r="AD69" i="8"/>
  <c r="AD53" i="8"/>
  <c r="AD37" i="8"/>
  <c r="AD21" i="8"/>
  <c r="AD104" i="8"/>
  <c r="AD88" i="8"/>
  <c r="AD72" i="8"/>
  <c r="AD56" i="8"/>
  <c r="AD40" i="8"/>
  <c r="AD24" i="8"/>
  <c r="AD80" i="8"/>
  <c r="AD107" i="8"/>
  <c r="AD59" i="8"/>
  <c r="AD43" i="8"/>
  <c r="AD106" i="8"/>
  <c r="AD58" i="8"/>
  <c r="AD26" i="8"/>
  <c r="AD73" i="8"/>
  <c r="AD41" i="8"/>
  <c r="AD92" i="8"/>
  <c r="AD44" i="8"/>
  <c r="AD115" i="8"/>
  <c r="AD99" i="8"/>
  <c r="AD83" i="8"/>
  <c r="AD67" i="8"/>
  <c r="AD51" i="8"/>
  <c r="AD35" i="8"/>
  <c r="AD114" i="8"/>
  <c r="AD98" i="8"/>
  <c r="AD82" i="8"/>
  <c r="AD66" i="8"/>
  <c r="AD50" i="8"/>
  <c r="AD34" i="8"/>
  <c r="AD113" i="8"/>
  <c r="AD97" i="8"/>
  <c r="AD81" i="8"/>
  <c r="AD65" i="8"/>
  <c r="AD49" i="8"/>
  <c r="AD33" i="8"/>
  <c r="AD116" i="8"/>
  <c r="AD100" i="8"/>
  <c r="AD84" i="8"/>
  <c r="AD68" i="8"/>
  <c r="AD52" i="8"/>
  <c r="AD36" i="8"/>
  <c r="AD20" i="8"/>
  <c r="AD64" i="8"/>
  <c r="AD75" i="8"/>
  <c r="AD27" i="8"/>
  <c r="AD90" i="8"/>
  <c r="AD74" i="8"/>
  <c r="AD42" i="8"/>
  <c r="AD105" i="8"/>
  <c r="AD57" i="8"/>
  <c r="AD108" i="8"/>
  <c r="AD76" i="8"/>
  <c r="AD28" i="8"/>
  <c r="AD111" i="8"/>
  <c r="AD95" i="8"/>
  <c r="AD79" i="8"/>
  <c r="AD63" i="8"/>
  <c r="AD47" i="8"/>
  <c r="AD31" i="8"/>
  <c r="AD110" i="8"/>
  <c r="AD94" i="8"/>
  <c r="AD78" i="8"/>
  <c r="AD62" i="8"/>
  <c r="AD46" i="8"/>
  <c r="AD30" i="8"/>
  <c r="AD109" i="8"/>
  <c r="AD93" i="8"/>
  <c r="AD77" i="8"/>
  <c r="AD61" i="8"/>
  <c r="AD45" i="8"/>
  <c r="AD29" i="8"/>
  <c r="AD112" i="8"/>
  <c r="AD96" i="8"/>
  <c r="AD48" i="8"/>
  <c r="AD32" i="8"/>
  <c r="AD19" i="8"/>
  <c r="AD91" i="8"/>
  <c r="AD89" i="8"/>
  <c r="AD25" i="8"/>
  <c r="AD60" i="8"/>
  <c r="AH64" i="8" l="1"/>
  <c r="AH58" i="8"/>
  <c r="AH47" i="8"/>
  <c r="AH91" i="8"/>
  <c r="AH27" i="8"/>
  <c r="AH77" i="8"/>
  <c r="AH112" i="8"/>
  <c r="AH106" i="8"/>
  <c r="AH75" i="8"/>
  <c r="AH42" i="8"/>
  <c r="AH49" i="8"/>
  <c r="AH29" i="8"/>
  <c r="AH115" i="8"/>
  <c r="AH110" i="8"/>
  <c r="AH84" i="8"/>
  <c r="AH82" i="8"/>
  <c r="AH90" i="8"/>
  <c r="AH33" i="8"/>
  <c r="AH97" i="8"/>
  <c r="AH59" i="8"/>
  <c r="AH61" i="8"/>
  <c r="AH105" i="8"/>
  <c r="AH26" i="8"/>
  <c r="AH19" i="8"/>
  <c r="AH46" i="8"/>
  <c r="AH79" i="8"/>
  <c r="AH25" i="8"/>
  <c r="AH32" i="8"/>
  <c r="AH67" i="8"/>
  <c r="AH20" i="8"/>
  <c r="AH81" i="8"/>
  <c r="AH35" i="8"/>
  <c r="AH113" i="8"/>
  <c r="AH60" i="8"/>
  <c r="AH41" i="8"/>
  <c r="AH56" i="8"/>
  <c r="AH21" i="8"/>
  <c r="AH54" i="8"/>
  <c r="AH23" i="8"/>
  <c r="AH87" i="8"/>
  <c r="AH76" i="8"/>
  <c r="AH109" i="8"/>
  <c r="AH51" i="8"/>
  <c r="AH80" i="8"/>
  <c r="AH85" i="8"/>
  <c r="AH93" i="8"/>
  <c r="AH62" i="8"/>
  <c r="AH31" i="8"/>
  <c r="AH95" i="8"/>
  <c r="AH108" i="8"/>
  <c r="AH74" i="8"/>
  <c r="AH36" i="8"/>
  <c r="AH100" i="8"/>
  <c r="AH65" i="8"/>
  <c r="AH34" i="8"/>
  <c r="AH98" i="8"/>
  <c r="AH73" i="8"/>
  <c r="AH43" i="8"/>
  <c r="AH72" i="8"/>
  <c r="AH37" i="8"/>
  <c r="AH101" i="8"/>
  <c r="AH70" i="8"/>
  <c r="AH39" i="8"/>
  <c r="AH103" i="8"/>
  <c r="AH89" i="8"/>
  <c r="AH48" i="8"/>
  <c r="AH45" i="8"/>
  <c r="AH78" i="8"/>
  <c r="AH111" i="8"/>
  <c r="AH57" i="8"/>
  <c r="AH52" i="8"/>
  <c r="AH116" i="8"/>
  <c r="AH50" i="8"/>
  <c r="AH114" i="8"/>
  <c r="AH83" i="8"/>
  <c r="AH44" i="8"/>
  <c r="AH24" i="8"/>
  <c r="AH88" i="8"/>
  <c r="AH53" i="8"/>
  <c r="AH22" i="8"/>
  <c r="AH86" i="8"/>
  <c r="AH55" i="8"/>
  <c r="AH96" i="8"/>
  <c r="AH30" i="8"/>
  <c r="AH94" i="8"/>
  <c r="AH63" i="8"/>
  <c r="AH28" i="8"/>
  <c r="AH68" i="8"/>
  <c r="AH66" i="8"/>
  <c r="AH99" i="8"/>
  <c r="AH92" i="8"/>
  <c r="AH107" i="8"/>
  <c r="AH40" i="8"/>
  <c r="AH104" i="8"/>
  <c r="AH69" i="8"/>
  <c r="AH38" i="8"/>
  <c r="AH102" i="8"/>
  <c r="AH71" i="8"/>
  <c r="AH18" i="8"/>
  <c r="AH17" i="8"/>
  <c r="AF17" i="8" s="1"/>
  <c r="T112" i="8"/>
  <c r="T46" i="8"/>
  <c r="T75" i="8"/>
  <c r="T84" i="8"/>
  <c r="T82" i="8"/>
  <c r="T106" i="8"/>
  <c r="T56" i="8"/>
  <c r="T21" i="8"/>
  <c r="T87" i="8"/>
  <c r="T25" i="8"/>
  <c r="T32" i="8"/>
  <c r="T29" i="8"/>
  <c r="T67" i="8"/>
  <c r="T19" i="8"/>
  <c r="T77" i="8"/>
  <c r="T79" i="8"/>
  <c r="T42" i="8"/>
  <c r="T20" i="8"/>
  <c r="T49" i="8"/>
  <c r="T115" i="8"/>
  <c r="T41" i="8"/>
  <c r="T54" i="8"/>
  <c r="T47" i="8"/>
  <c r="T90" i="8"/>
  <c r="T64" i="8"/>
  <c r="T81" i="8"/>
  <c r="T26" i="8"/>
  <c r="T59" i="8"/>
  <c r="T110" i="8"/>
  <c r="T113" i="8"/>
  <c r="T23" i="8"/>
  <c r="T91" i="8"/>
  <c r="T61" i="8"/>
  <c r="T27" i="8"/>
  <c r="T33" i="8"/>
  <c r="T97" i="8"/>
  <c r="T58" i="8"/>
  <c r="T85" i="8"/>
  <c r="T105" i="8"/>
  <c r="T35" i="8"/>
  <c r="T108" i="8"/>
  <c r="T100" i="8"/>
  <c r="T98" i="8"/>
  <c r="T101" i="8"/>
  <c r="T103" i="8"/>
  <c r="T109" i="8"/>
  <c r="T111" i="8"/>
  <c r="T116" i="8"/>
  <c r="T114" i="8"/>
  <c r="T28" i="8"/>
  <c r="T68" i="8"/>
  <c r="T99" i="8"/>
  <c r="T107" i="8"/>
  <c r="T104" i="8"/>
  <c r="T102" i="8"/>
  <c r="T80" i="8"/>
  <c r="T93" i="8"/>
  <c r="T62" i="8"/>
  <c r="T31" i="8"/>
  <c r="T95" i="8"/>
  <c r="T74" i="8"/>
  <c r="T36" i="8"/>
  <c r="T65" i="8"/>
  <c r="T34" i="8"/>
  <c r="T73" i="8"/>
  <c r="T43" i="8"/>
  <c r="T72" i="8"/>
  <c r="T37" i="8"/>
  <c r="T70" i="8"/>
  <c r="T39" i="8"/>
  <c r="T51" i="8"/>
  <c r="T89" i="8"/>
  <c r="T48" i="8"/>
  <c r="T45" i="8"/>
  <c r="T78" i="8"/>
  <c r="T57" i="8"/>
  <c r="T52" i="8"/>
  <c r="T50" i="8"/>
  <c r="T83" i="8"/>
  <c r="T44" i="8"/>
  <c r="T24" i="8"/>
  <c r="T88" i="8"/>
  <c r="T53" i="8"/>
  <c r="T22" i="8"/>
  <c r="T86" i="8"/>
  <c r="T55" i="8"/>
  <c r="T18" i="8"/>
  <c r="T60" i="8"/>
  <c r="T76" i="8"/>
  <c r="T96" i="8"/>
  <c r="T30" i="8"/>
  <c r="T94" i="8"/>
  <c r="T63" i="8"/>
  <c r="T66" i="8"/>
  <c r="T92" i="8"/>
  <c r="T40" i="8"/>
  <c r="T69" i="8"/>
  <c r="T38" i="8"/>
  <c r="T71" i="8"/>
  <c r="T17" i="8"/>
  <c r="U4" i="8" l="1"/>
  <c r="I4" i="8" l="1"/>
  <c r="U5" i="8"/>
  <c r="I12" i="8" s="1"/>
  <c r="I3" i="8"/>
  <c r="O18" i="9" l="1"/>
  <c r="J21" i="9"/>
  <c r="P5" i="9"/>
  <c r="J20" i="9" l="1"/>
  <c r="J22" i="9"/>
  <c r="J23" i="9" s="1"/>
  <c r="J24" i="9" s="1"/>
  <c r="Q4" i="9"/>
  <c r="P4" i="9"/>
  <c r="Q5" i="9"/>
  <c r="U15" i="9"/>
  <c r="M7" i="9" l="1"/>
  <c r="AA13" i="14" s="1"/>
  <c r="M8" i="9"/>
  <c r="AA14" i="14" s="1"/>
  <c r="L24" i="9"/>
  <c r="K24" i="9" s="1"/>
  <c r="M24" i="9" s="1"/>
  <c r="J25" i="9"/>
  <c r="Q14" i="9" l="1"/>
  <c r="R14" i="9"/>
  <c r="Q15" i="9"/>
  <c r="R15" i="9"/>
  <c r="R13" i="9"/>
  <c r="Q13" i="9"/>
  <c r="J26" i="9"/>
  <c r="L25" i="9"/>
  <c r="K25" i="9" s="1"/>
  <c r="M25" i="9" s="1"/>
  <c r="Y15" i="8"/>
  <c r="Z15" i="8" s="1"/>
  <c r="Z17" i="8"/>
  <c r="Q12" i="9" l="1"/>
  <c r="R12" i="9"/>
  <c r="R16" i="9"/>
  <c r="Q16" i="9"/>
  <c r="J27" i="9"/>
  <c r="L26" i="9"/>
  <c r="K26" i="9" s="1"/>
  <c r="M26" i="9" s="1"/>
  <c r="Z21" i="8"/>
  <c r="Z25" i="8"/>
  <c r="Z29" i="8"/>
  <c r="Z33" i="8"/>
  <c r="Z37" i="8"/>
  <c r="Z18" i="8"/>
  <c r="Z22" i="8"/>
  <c r="Z26" i="8"/>
  <c r="Z30" i="8"/>
  <c r="Z34" i="8"/>
  <c r="Z19" i="8"/>
  <c r="Z23" i="8"/>
  <c r="Z27" i="8"/>
  <c r="Z31" i="8"/>
  <c r="Z35" i="8"/>
  <c r="Z20" i="8"/>
  <c r="Z24" i="8"/>
  <c r="Z28" i="8"/>
  <c r="Z32" i="8"/>
  <c r="Z36" i="8"/>
  <c r="R17" i="9" l="1"/>
  <c r="Q17" i="9"/>
  <c r="R11" i="9"/>
  <c r="Q11" i="9"/>
  <c r="J28" i="9"/>
  <c r="L27" i="9"/>
  <c r="K27" i="9" s="1"/>
  <c r="M27" i="9" s="1"/>
  <c r="U77" i="8"/>
  <c r="U107" i="8"/>
  <c r="U76" i="8"/>
  <c r="AA9" i="14"/>
  <c r="U49" i="8"/>
  <c r="U97" i="8"/>
  <c r="U39" i="8"/>
  <c r="U75" i="8"/>
  <c r="U94" i="8"/>
  <c r="U36" i="8"/>
  <c r="U83" i="8"/>
  <c r="U28" i="8"/>
  <c r="U57" i="8"/>
  <c r="U55" i="8"/>
  <c r="U87" i="8"/>
  <c r="U84" i="8"/>
  <c r="U37" i="8"/>
  <c r="U18" i="8"/>
  <c r="U22" i="8"/>
  <c r="U69" i="8"/>
  <c r="U24" i="8"/>
  <c r="U93" i="8"/>
  <c r="U30" i="8"/>
  <c r="U51" i="8"/>
  <c r="U79" i="8"/>
  <c r="U111" i="8"/>
  <c r="U68" i="8"/>
  <c r="U112" i="8"/>
  <c r="U53" i="8"/>
  <c r="U65" i="8"/>
  <c r="U81" i="8"/>
  <c r="U92" i="8"/>
  <c r="U96" i="8"/>
  <c r="U102" i="8"/>
  <c r="U90" i="8"/>
  <c r="U67" i="8"/>
  <c r="U106" i="8"/>
  <c r="U44" i="8"/>
  <c r="U46" i="8"/>
  <c r="U48" i="8"/>
  <c r="U50" i="8"/>
  <c r="U31" i="8"/>
  <c r="U115" i="8"/>
  <c r="U54" i="8"/>
  <c r="U42" i="8"/>
  <c r="U59" i="8"/>
  <c r="U74" i="8"/>
  <c r="U38" i="8"/>
  <c r="U56" i="8"/>
  <c r="U61" i="8"/>
  <c r="U71" i="8"/>
  <c r="U101" i="8"/>
  <c r="U66" i="8"/>
  <c r="U80" i="8"/>
  <c r="U34" i="8"/>
  <c r="U41" i="8"/>
  <c r="U43" i="8"/>
  <c r="U60" i="8"/>
  <c r="U35" i="8"/>
  <c r="U105" i="8"/>
  <c r="U20" i="8"/>
  <c r="U21" i="8"/>
  <c r="U29" i="8"/>
  <c r="U58" i="8"/>
  <c r="U85" i="8"/>
  <c r="U100" i="8"/>
  <c r="U17" i="8"/>
  <c r="U86" i="8"/>
  <c r="U110" i="8"/>
  <c r="U25" i="8"/>
  <c r="U40" i="8"/>
  <c r="U63" i="8"/>
  <c r="U98" i="8"/>
  <c r="U109" i="8"/>
  <c r="U113" i="8"/>
  <c r="U114" i="8"/>
  <c r="U116" i="8"/>
  <c r="U78" i="8"/>
  <c r="U33" i="8"/>
  <c r="U64" i="8"/>
  <c r="U19" i="8"/>
  <c r="U99" i="8"/>
  <c r="U91" i="8"/>
  <c r="U82" i="8"/>
  <c r="U47" i="8"/>
  <c r="U52" i="8"/>
  <c r="U88" i="8"/>
  <c r="U103" i="8"/>
  <c r="U95" i="8"/>
  <c r="U72" i="8"/>
  <c r="U89" i="8"/>
  <c r="U27" i="8"/>
  <c r="U73" i="8"/>
  <c r="U32" i="8"/>
  <c r="U23" i="8"/>
  <c r="U26" i="8"/>
  <c r="U62" i="8"/>
  <c r="U104" i="8"/>
  <c r="U108" i="8"/>
  <c r="U70" i="8"/>
  <c r="U45" i="8"/>
  <c r="R10" i="9" l="1"/>
  <c r="Q10" i="9"/>
  <c r="R18" i="9"/>
  <c r="Q18" i="9"/>
  <c r="J29" i="9"/>
  <c r="L28" i="9"/>
  <c r="K28" i="9" s="1"/>
  <c r="M28" i="9" s="1"/>
  <c r="W20" i="8"/>
  <c r="V17" i="8"/>
  <c r="W19" i="8"/>
  <c r="V20" i="8"/>
  <c r="W23" i="8"/>
  <c r="V24" i="8"/>
  <c r="W27" i="8"/>
  <c r="V28" i="8"/>
  <c r="W31" i="8"/>
  <c r="V32" i="8"/>
  <c r="W35" i="8"/>
  <c r="V36" i="8"/>
  <c r="W17" i="8"/>
  <c r="V21" i="8"/>
  <c r="W24" i="8"/>
  <c r="V25" i="8"/>
  <c r="W28" i="8"/>
  <c r="V29" i="8"/>
  <c r="W32" i="8"/>
  <c r="V33" i="8"/>
  <c r="W36" i="8"/>
  <c r="V37" i="8"/>
  <c r="V18" i="8"/>
  <c r="W21" i="8"/>
  <c r="V22" i="8"/>
  <c r="W25" i="8"/>
  <c r="V26" i="8"/>
  <c r="W29" i="8"/>
  <c r="V30" i="8"/>
  <c r="W33" i="8"/>
  <c r="V34" i="8"/>
  <c r="W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79" i="8"/>
  <c r="V80" i="8"/>
  <c r="V81" i="8"/>
  <c r="V82" i="8"/>
  <c r="V83" i="8"/>
  <c r="V84" i="8"/>
  <c r="V85" i="8"/>
  <c r="W18" i="8"/>
  <c r="V31" i="8"/>
  <c r="W34" i="8"/>
  <c r="W41" i="8"/>
  <c r="W45" i="8"/>
  <c r="W49" i="8"/>
  <c r="W53" i="8"/>
  <c r="W57" i="8"/>
  <c r="W61" i="8"/>
  <c r="W86" i="8"/>
  <c r="V89" i="8"/>
  <c r="W90" i="8"/>
  <c r="V93" i="8"/>
  <c r="W94" i="8"/>
  <c r="V19" i="8"/>
  <c r="W22" i="8"/>
  <c r="V35" i="8"/>
  <c r="W38" i="8"/>
  <c r="W42" i="8"/>
  <c r="W46" i="8"/>
  <c r="W50" i="8"/>
  <c r="W54" i="8"/>
  <c r="W58" i="8"/>
  <c r="W62" i="8"/>
  <c r="W65" i="8"/>
  <c r="W67" i="8"/>
  <c r="W69" i="8"/>
  <c r="W71" i="8"/>
  <c r="W73" i="8"/>
  <c r="W75" i="8"/>
  <c r="W77" i="8"/>
  <c r="W79" i="8"/>
  <c r="W81" i="8"/>
  <c r="W83" i="8"/>
  <c r="W85" i="8"/>
  <c r="V88" i="8"/>
  <c r="W89" i="8"/>
  <c r="V92" i="8"/>
  <c r="W93" i="8"/>
  <c r="V96" i="8"/>
  <c r="V97" i="8"/>
  <c r="V98" i="8"/>
  <c r="V99" i="8"/>
  <c r="V100" i="8"/>
  <c r="V101" i="8"/>
  <c r="V102" i="8"/>
  <c r="V103" i="8"/>
  <c r="V104" i="8"/>
  <c r="V105" i="8"/>
  <c r="V106" i="8"/>
  <c r="V107" i="8"/>
  <c r="V108" i="8"/>
  <c r="V109" i="8"/>
  <c r="V110" i="8"/>
  <c r="V111" i="8"/>
  <c r="V112" i="8"/>
  <c r="V113" i="8"/>
  <c r="V114" i="8"/>
  <c r="V115" i="8"/>
  <c r="V116" i="8"/>
  <c r="W115" i="8"/>
  <c r="V23" i="8"/>
  <c r="W26" i="8"/>
  <c r="W39" i="8"/>
  <c r="W43" i="8"/>
  <c r="W47" i="8"/>
  <c r="W51" i="8"/>
  <c r="W55" i="8"/>
  <c r="W59" i="8"/>
  <c r="W63" i="8"/>
  <c r="V87" i="8"/>
  <c r="W88" i="8"/>
  <c r="V91" i="8"/>
  <c r="W92" i="8"/>
  <c r="V95" i="8"/>
  <c r="W96" i="8"/>
  <c r="W97" i="8"/>
  <c r="W98" i="8"/>
  <c r="W99" i="8"/>
  <c r="W100" i="8"/>
  <c r="W101" i="8"/>
  <c r="W102" i="8"/>
  <c r="W103" i="8"/>
  <c r="W104" i="8"/>
  <c r="W105" i="8"/>
  <c r="W106" i="8"/>
  <c r="W107" i="8"/>
  <c r="W108" i="8"/>
  <c r="W109" i="8"/>
  <c r="W110" i="8"/>
  <c r="W111" i="8"/>
  <c r="W112" i="8"/>
  <c r="W113" i="8"/>
  <c r="W114" i="8"/>
  <c r="W116" i="8"/>
  <c r="V27" i="8"/>
  <c r="W30" i="8"/>
  <c r="W40" i="8"/>
  <c r="W44" i="8"/>
  <c r="W48" i="8"/>
  <c r="W52" i="8"/>
  <c r="W56" i="8"/>
  <c r="W60" i="8"/>
  <c r="W64" i="8"/>
  <c r="W66" i="8"/>
  <c r="W68" i="8"/>
  <c r="W70" i="8"/>
  <c r="W72" i="8"/>
  <c r="W74" i="8"/>
  <c r="W76" i="8"/>
  <c r="W78" i="8"/>
  <c r="W80" i="8"/>
  <c r="W82" i="8"/>
  <c r="W84" i="8"/>
  <c r="V86" i="8"/>
  <c r="W87" i="8"/>
  <c r="V90" i="8"/>
  <c r="W91" i="8"/>
  <c r="V94" i="8"/>
  <c r="W95" i="8"/>
  <c r="D5" i="5"/>
  <c r="D5" i="4"/>
  <c r="Q9" i="9" l="1"/>
  <c r="R9" i="9"/>
  <c r="L29" i="9"/>
  <c r="K29" i="9" s="1"/>
  <c r="M29" i="9" s="1"/>
  <c r="J30" i="9"/>
  <c r="L30" i="9" s="1"/>
  <c r="K30" i="9" s="1"/>
  <c r="M30" i="9" s="1"/>
  <c r="L13" i="4"/>
  <c r="J15" i="5"/>
  <c r="J14" i="5"/>
  <c r="J13" i="5"/>
  <c r="J18" i="5"/>
  <c r="J17" i="5"/>
  <c r="J16" i="5"/>
  <c r="K15" i="5"/>
  <c r="K14" i="5"/>
  <c r="K13" i="5"/>
  <c r="K18" i="5"/>
  <c r="K17" i="5"/>
  <c r="K16" i="5"/>
  <c r="R8" i="9" l="1"/>
  <c r="Q8" i="9"/>
  <c r="K19" i="9"/>
  <c r="L20" i="9"/>
  <c r="K20" i="9" s="1"/>
  <c r="M20" i="9" s="1"/>
  <c r="L21" i="9"/>
  <c r="K21" i="9" s="1"/>
  <c r="M21" i="9" s="1"/>
  <c r="L22" i="9"/>
  <c r="K22" i="9" s="1"/>
  <c r="M22" i="9" s="1"/>
  <c r="L23" i="9"/>
  <c r="K23" i="9" s="1"/>
  <c r="M23" i="9" s="1"/>
  <c r="L19" i="9" l="1"/>
  <c r="M19" i="9" s="1"/>
  <c r="Y7" i="8" l="1"/>
  <c r="Y8" i="8"/>
  <c r="Y9" i="8"/>
  <c r="C2" i="8"/>
  <c r="C4" i="9" s="1"/>
  <c r="D7" i="5" l="1"/>
  <c r="F9" i="5" s="1"/>
  <c r="G9" i="5" s="1"/>
  <c r="D7" i="4" l="1"/>
  <c r="F9" i="4" l="1"/>
  <c r="AJ9" i="4" s="1"/>
  <c r="S4" i="10" l="1"/>
  <c r="W11" i="10" s="1"/>
  <c r="F13" i="10" s="1"/>
  <c r="A32" i="11" l="1"/>
  <c r="A33" i="11"/>
  <c r="A34" i="11"/>
  <c r="A41" i="11"/>
  <c r="A42" i="11"/>
  <c r="A40" i="11"/>
  <c r="L13" i="5"/>
  <c r="L17" i="5"/>
  <c r="L16" i="5"/>
  <c r="L15" i="5"/>
  <c r="L14" i="5"/>
  <c r="M15" i="5"/>
  <c r="M14" i="5"/>
  <c r="M13" i="5"/>
  <c r="A39" i="11" l="1"/>
  <c r="A38" i="11"/>
  <c r="A35" i="11"/>
  <c r="A36" i="11"/>
  <c r="A37" i="11"/>
  <c r="L18" i="5"/>
  <c r="AR13" i="4"/>
  <c r="AR14" i="4"/>
  <c r="AR15" i="4"/>
  <c r="D26" i="8" l="1"/>
  <c r="D27" i="8" s="1"/>
  <c r="AU29" i="8" s="1"/>
  <c r="C25" i="8"/>
  <c r="AP27" i="8" s="1"/>
  <c r="C24" i="8"/>
  <c r="AP26" i="8" s="1"/>
  <c r="C23" i="8"/>
  <c r="AN25" i="8" s="1"/>
  <c r="C22" i="8"/>
  <c r="AP24" i="8" s="1"/>
  <c r="C21" i="8"/>
  <c r="AP23" i="8" s="1"/>
  <c r="C20" i="8"/>
  <c r="AQ22" i="8" s="1"/>
  <c r="C19" i="8"/>
  <c r="AO21" i="8" s="1"/>
  <c r="AV29" i="8"/>
  <c r="C18" i="8"/>
  <c r="AQ20" i="8" s="1"/>
  <c r="AU28" i="8"/>
  <c r="C17" i="8"/>
  <c r="AP19" i="8" s="1"/>
  <c r="AV27" i="8"/>
  <c r="AU27" i="8"/>
  <c r="AT27" i="8"/>
  <c r="AS27" i="8"/>
  <c r="AR27" i="8"/>
  <c r="AQ27" i="8"/>
  <c r="AN27" i="8"/>
  <c r="AV26" i="8"/>
  <c r="AU26" i="8"/>
  <c r="AT26" i="8"/>
  <c r="AS26" i="8"/>
  <c r="AR26" i="8"/>
  <c r="AV25" i="8"/>
  <c r="AU25" i="8"/>
  <c r="AT25" i="8"/>
  <c r="AS25" i="8"/>
  <c r="AR25" i="8"/>
  <c r="AV24" i="8"/>
  <c r="AU24" i="8"/>
  <c r="AT24" i="8"/>
  <c r="AS24" i="8"/>
  <c r="AR24" i="8"/>
  <c r="X11" i="8"/>
  <c r="AV23" i="8"/>
  <c r="AU23" i="8"/>
  <c r="AT23" i="8"/>
  <c r="AS23" i="8"/>
  <c r="AR23" i="8"/>
  <c r="AQ23" i="8"/>
  <c r="AN23" i="8"/>
  <c r="AM23" i="8"/>
  <c r="AV22" i="8"/>
  <c r="AU22" i="8"/>
  <c r="AT22" i="8"/>
  <c r="AS22" i="8"/>
  <c r="AR22" i="8"/>
  <c r="AV21" i="8"/>
  <c r="AU21" i="8"/>
  <c r="AT21" i="8"/>
  <c r="AS21" i="8"/>
  <c r="AR21" i="8"/>
  <c r="AV20" i="8"/>
  <c r="AU20" i="8"/>
  <c r="AT20" i="8"/>
  <c r="AS20" i="8"/>
  <c r="AR20" i="8"/>
  <c r="AN20" i="8"/>
  <c r="AV19" i="8"/>
  <c r="AU19" i="8"/>
  <c r="AT19" i="8"/>
  <c r="AS19" i="8"/>
  <c r="AR19" i="8"/>
  <c r="AN19" i="8" l="1"/>
  <c r="AQ19" i="8"/>
  <c r="AM21" i="8"/>
  <c r="AP25" i="8"/>
  <c r="AM19" i="8"/>
  <c r="C26" i="8"/>
  <c r="AO28" i="8" s="1"/>
  <c r="AM27" i="8"/>
  <c r="AO20" i="8"/>
  <c r="AP22" i="8"/>
  <c r="AO23" i="8"/>
  <c r="AM26" i="8"/>
  <c r="AO27" i="8"/>
  <c r="AN26" i="8"/>
  <c r="AN22" i="8"/>
  <c r="AQ26" i="8"/>
  <c r="AO22" i="8"/>
  <c r="AO26" i="8"/>
  <c r="Y11" i="8"/>
  <c r="R107" i="8" s="1"/>
  <c r="AM24" i="8"/>
  <c r="AP20" i="8"/>
  <c r="AP21" i="8"/>
  <c r="AP28" i="8"/>
  <c r="AR29" i="8"/>
  <c r="AQ24" i="8"/>
  <c r="AM20" i="8"/>
  <c r="AQ21" i="8"/>
  <c r="AO25" i="8"/>
  <c r="AT28" i="8"/>
  <c r="AS29" i="8"/>
  <c r="AN24" i="8"/>
  <c r="AQ28" i="8"/>
  <c r="AO19" i="8"/>
  <c r="AN21" i="8"/>
  <c r="AO24" i="8"/>
  <c r="AM25" i="8"/>
  <c r="AQ25" i="8"/>
  <c r="AN28" i="8"/>
  <c r="AR28" i="8"/>
  <c r="AV28" i="8"/>
  <c r="AT29" i="8"/>
  <c r="AM22" i="8"/>
  <c r="AS28" i="8"/>
  <c r="D28" i="8"/>
  <c r="C27" i="8"/>
  <c r="K57" i="8" l="1"/>
  <c r="K30" i="8"/>
  <c r="K67" i="8"/>
  <c r="K95" i="8"/>
  <c r="K73" i="8"/>
  <c r="K50" i="8"/>
  <c r="K24" i="8"/>
  <c r="K83" i="8"/>
  <c r="K64" i="8"/>
  <c r="K35" i="8"/>
  <c r="K61" i="8"/>
  <c r="K38" i="8"/>
  <c r="K109" i="8"/>
  <c r="K71" i="8"/>
  <c r="K52" i="8"/>
  <c r="K36" i="8"/>
  <c r="K81" i="8"/>
  <c r="K58" i="8"/>
  <c r="K21" i="8"/>
  <c r="K98" i="8"/>
  <c r="K72" i="8"/>
  <c r="K20" i="8"/>
  <c r="K53" i="8"/>
  <c r="K22" i="8"/>
  <c r="K101" i="8"/>
  <c r="K63" i="8"/>
  <c r="K44" i="8"/>
  <c r="K87" i="8"/>
  <c r="K88" i="8"/>
  <c r="K37" i="8"/>
  <c r="K80" i="8"/>
  <c r="K77" i="8"/>
  <c r="K54" i="8"/>
  <c r="K32" i="8"/>
  <c r="K92" i="8"/>
  <c r="K68" i="8"/>
  <c r="K90" i="8"/>
  <c r="K100" i="8"/>
  <c r="K74" i="8"/>
  <c r="K43" i="8"/>
  <c r="K114" i="8"/>
  <c r="K89" i="8"/>
  <c r="K19" i="8"/>
  <c r="K69" i="8"/>
  <c r="K46" i="8"/>
  <c r="K91" i="8"/>
  <c r="K79" i="8"/>
  <c r="K60" i="8"/>
  <c r="K27" i="8"/>
  <c r="K49" i="8"/>
  <c r="K66" i="8"/>
  <c r="K106" i="8"/>
  <c r="K31" i="8"/>
  <c r="K41" i="8"/>
  <c r="K108" i="8"/>
  <c r="K82" i="8"/>
  <c r="K51" i="8"/>
  <c r="K26" i="8"/>
  <c r="K103" i="8"/>
  <c r="K28" i="8"/>
  <c r="K96" i="8"/>
  <c r="K70" i="8"/>
  <c r="K39" i="8"/>
  <c r="K110" i="8"/>
  <c r="K84" i="8"/>
  <c r="K23" i="8"/>
  <c r="K116" i="8"/>
  <c r="K97" i="8"/>
  <c r="K59" i="8"/>
  <c r="K40" i="8"/>
  <c r="K111" i="8"/>
  <c r="K65" i="8"/>
  <c r="K85" i="8"/>
  <c r="K62" i="8"/>
  <c r="K29" i="8"/>
  <c r="K102" i="8"/>
  <c r="K76" i="8"/>
  <c r="K94" i="8"/>
  <c r="K105" i="8"/>
  <c r="K48" i="8"/>
  <c r="K45" i="8"/>
  <c r="K112" i="8"/>
  <c r="K93" i="8"/>
  <c r="K55" i="8"/>
  <c r="K34" i="8"/>
  <c r="K107" i="8"/>
  <c r="K25" i="8"/>
  <c r="K42" i="8"/>
  <c r="K113" i="8"/>
  <c r="K75" i="8"/>
  <c r="K56" i="8"/>
  <c r="K115" i="8"/>
  <c r="K33" i="8"/>
  <c r="K104" i="8"/>
  <c r="K78" i="8"/>
  <c r="K47" i="8"/>
  <c r="K18" i="8"/>
  <c r="K99" i="8"/>
  <c r="K86" i="8"/>
  <c r="R113" i="8"/>
  <c r="R83" i="8"/>
  <c r="R90" i="8"/>
  <c r="R22" i="8"/>
  <c r="R29" i="8"/>
  <c r="R30" i="8"/>
  <c r="R81" i="8"/>
  <c r="R39" i="8"/>
  <c r="R100" i="8"/>
  <c r="R44" i="8"/>
  <c r="R115" i="8"/>
  <c r="R84" i="8"/>
  <c r="R116" i="8"/>
  <c r="R112" i="8"/>
  <c r="R25" i="8"/>
  <c r="R101" i="8"/>
  <c r="R48" i="8"/>
  <c r="R45" i="8"/>
  <c r="R95" i="8"/>
  <c r="R54" i="8"/>
  <c r="R92" i="8"/>
  <c r="R18" i="8"/>
  <c r="AM28" i="8"/>
  <c r="R85" i="8"/>
  <c r="R76" i="8"/>
  <c r="R74" i="8"/>
  <c r="R60" i="8"/>
  <c r="R59" i="8"/>
  <c r="R23" i="8"/>
  <c r="R94" i="8"/>
  <c r="R110" i="8"/>
  <c r="R47" i="8"/>
  <c r="R24" i="8"/>
  <c r="R61" i="8"/>
  <c r="R106" i="8"/>
  <c r="R50" i="8"/>
  <c r="R91" i="8"/>
  <c r="R37" i="8"/>
  <c r="R64" i="8"/>
  <c r="R114" i="8"/>
  <c r="R70" i="8"/>
  <c r="R52" i="8"/>
  <c r="R55" i="8"/>
  <c r="R17" i="8"/>
  <c r="K17" i="8" s="1"/>
  <c r="R19" i="8"/>
  <c r="R36" i="8"/>
  <c r="R33" i="8"/>
  <c r="R104" i="8"/>
  <c r="R87" i="8"/>
  <c r="R35" i="8"/>
  <c r="R99" i="8"/>
  <c r="R75" i="8"/>
  <c r="R62" i="8"/>
  <c r="R21" i="8"/>
  <c r="R66" i="8"/>
  <c r="R73" i="8"/>
  <c r="R93" i="8"/>
  <c r="R89" i="8"/>
  <c r="R71" i="8"/>
  <c r="R41" i="8"/>
  <c r="R46" i="8"/>
  <c r="R49" i="8"/>
  <c r="R68" i="8"/>
  <c r="R53" i="8"/>
  <c r="R27" i="8"/>
  <c r="R42" i="8"/>
  <c r="R109" i="8"/>
  <c r="R32" i="8"/>
  <c r="R98" i="8"/>
  <c r="R57" i="8"/>
  <c r="R72" i="8"/>
  <c r="R63" i="8"/>
  <c r="R77" i="8"/>
  <c r="R56" i="8"/>
  <c r="R40" i="8"/>
  <c r="R51" i="8"/>
  <c r="R108" i="8"/>
  <c r="R78" i="8"/>
  <c r="R111" i="8"/>
  <c r="R79" i="8"/>
  <c r="R28" i="8"/>
  <c r="R96" i="8"/>
  <c r="R103" i="8"/>
  <c r="R82" i="8"/>
  <c r="R80" i="8"/>
  <c r="R67" i="8"/>
  <c r="R20" i="8"/>
  <c r="R38" i="8"/>
  <c r="R105" i="8"/>
  <c r="R86" i="8"/>
  <c r="R31" i="8"/>
  <c r="R88" i="8"/>
  <c r="R97" i="8"/>
  <c r="R65" i="8"/>
  <c r="R26" i="8"/>
  <c r="R69" i="8"/>
  <c r="R34" i="8"/>
  <c r="R58" i="8"/>
  <c r="R102" i="8"/>
  <c r="R43" i="8"/>
  <c r="AO29" i="8"/>
  <c r="AN29" i="8"/>
  <c r="AQ29" i="8"/>
  <c r="AM29" i="8"/>
  <c r="AP29" i="8"/>
  <c r="D29" i="8"/>
  <c r="C28" i="8"/>
  <c r="AT30" i="8"/>
  <c r="AS30" i="8"/>
  <c r="AV30" i="8"/>
  <c r="AR30" i="8"/>
  <c r="AU30" i="8"/>
  <c r="T4" i="8" l="1"/>
  <c r="AP30" i="8"/>
  <c r="AO30" i="8"/>
  <c r="AN30" i="8"/>
  <c r="AQ30" i="8"/>
  <c r="AM30" i="8"/>
  <c r="D30" i="8"/>
  <c r="C29" i="8"/>
  <c r="AU31" i="8"/>
  <c r="AT31" i="8"/>
  <c r="AS31" i="8"/>
  <c r="AV31" i="8"/>
  <c r="AR31" i="8"/>
  <c r="AA7" i="14" l="1"/>
  <c r="T5" i="8"/>
  <c r="G12" i="8" s="1"/>
  <c r="O19" i="14" s="1"/>
  <c r="G4" i="8"/>
  <c r="G3" i="8"/>
  <c r="AQ31" i="8"/>
  <c r="AM31" i="8"/>
  <c r="AP31" i="8"/>
  <c r="AO31" i="8"/>
  <c r="AN31" i="8"/>
  <c r="D31" i="8"/>
  <c r="C30" i="8"/>
  <c r="AS32" i="8"/>
  <c r="AV32" i="8"/>
  <c r="AR32" i="8"/>
  <c r="AU32" i="8"/>
  <c r="AT32" i="8"/>
  <c r="U22" i="9" l="1"/>
  <c r="AO32" i="8"/>
  <c r="AN32" i="8"/>
  <c r="AQ32" i="8"/>
  <c r="AM32" i="8"/>
  <c r="AP32" i="8"/>
  <c r="D32" i="8"/>
  <c r="C31" i="8"/>
  <c r="AU33" i="8"/>
  <c r="AT33" i="8"/>
  <c r="AS33" i="8"/>
  <c r="AV33" i="8"/>
  <c r="AR33" i="8"/>
  <c r="AQ33" i="8" l="1"/>
  <c r="AM33" i="8"/>
  <c r="AP33" i="8"/>
  <c r="AO33" i="8"/>
  <c r="AN33" i="8"/>
  <c r="D33" i="8"/>
  <c r="C32" i="8"/>
  <c r="AV34" i="8"/>
  <c r="AR34" i="8"/>
  <c r="AU34" i="8"/>
  <c r="AT34" i="8"/>
  <c r="AS34" i="8"/>
  <c r="AN34" i="8" l="1"/>
  <c r="AQ34" i="8"/>
  <c r="AM34" i="8"/>
  <c r="AP34" i="8"/>
  <c r="AO34" i="8"/>
  <c r="AT35" i="8"/>
  <c r="D34" i="8"/>
  <c r="C33" i="8"/>
  <c r="AS35" i="8"/>
  <c r="AV35" i="8"/>
  <c r="AR35" i="8"/>
  <c r="AU35" i="8"/>
  <c r="AP35" i="8" l="1"/>
  <c r="AO35" i="8"/>
  <c r="AN35" i="8"/>
  <c r="AQ35" i="8"/>
  <c r="AM35" i="8"/>
  <c r="AV36" i="8"/>
  <c r="AR36" i="8"/>
  <c r="AU36" i="8"/>
  <c r="D35" i="8"/>
  <c r="C34" i="8"/>
  <c r="AT36" i="8"/>
  <c r="AS36" i="8"/>
  <c r="AN36" i="8" l="1"/>
  <c r="AQ36" i="8"/>
  <c r="AM36" i="8"/>
  <c r="AP36" i="8"/>
  <c r="AO36" i="8"/>
  <c r="AS37" i="8"/>
  <c r="AV37" i="8"/>
  <c r="AR37" i="8"/>
  <c r="AU37" i="8"/>
  <c r="D36" i="8"/>
  <c r="C35" i="8"/>
  <c r="AT37" i="8"/>
  <c r="AO37" i="8" l="1"/>
  <c r="AN37" i="8"/>
  <c r="AQ37" i="8"/>
  <c r="AM37" i="8"/>
  <c r="AP37" i="8"/>
  <c r="D37" i="8"/>
  <c r="C36" i="8"/>
  <c r="AT38" i="8"/>
  <c r="AS38" i="8"/>
  <c r="AV38" i="8"/>
  <c r="AR38" i="8"/>
  <c r="AU38" i="8"/>
  <c r="D38" i="8" l="1"/>
  <c r="AU39" i="8"/>
  <c r="C37" i="8"/>
  <c r="AT39" i="8"/>
  <c r="AS39" i="8"/>
  <c r="AV39" i="8"/>
  <c r="AR39" i="8"/>
  <c r="AP38" i="8"/>
  <c r="AO38" i="8"/>
  <c r="AN38" i="8"/>
  <c r="AQ38" i="8"/>
  <c r="AM38" i="8"/>
  <c r="AV40" i="8" l="1"/>
  <c r="AR40" i="8"/>
  <c r="D39" i="8"/>
  <c r="C38" i="8"/>
  <c r="AU40" i="8"/>
  <c r="AT40" i="8"/>
  <c r="AS40" i="8"/>
  <c r="AQ39" i="8"/>
  <c r="AM39" i="8"/>
  <c r="AP39" i="8"/>
  <c r="AO39" i="8"/>
  <c r="AN39" i="8"/>
  <c r="AN40" i="8" l="1"/>
  <c r="AQ40" i="8"/>
  <c r="AM40" i="8"/>
  <c r="AP40" i="8"/>
  <c r="AO40" i="8"/>
  <c r="AS41" i="8"/>
  <c r="AV41" i="8"/>
  <c r="AR41" i="8"/>
  <c r="D40" i="8"/>
  <c r="C39" i="8"/>
  <c r="AU41" i="8"/>
  <c r="AT41" i="8"/>
  <c r="AO41" i="8" l="1"/>
  <c r="AN41" i="8"/>
  <c r="AQ41" i="8"/>
  <c r="AM41" i="8"/>
  <c r="AP41" i="8"/>
  <c r="AT42" i="8"/>
  <c r="AS42" i="8"/>
  <c r="AV42" i="8"/>
  <c r="AR42" i="8"/>
  <c r="D41" i="8"/>
  <c r="C40" i="8"/>
  <c r="AU42" i="8"/>
  <c r="D42" i="8" l="1"/>
  <c r="C41" i="8"/>
  <c r="AU43" i="8"/>
  <c r="AT43" i="8"/>
  <c r="AS43" i="8"/>
  <c r="AV43" i="8"/>
  <c r="AR43" i="8"/>
  <c r="AP42" i="8"/>
  <c r="AO42" i="8"/>
  <c r="AN42" i="8"/>
  <c r="AQ42" i="8"/>
  <c r="AM42" i="8"/>
  <c r="AQ43" i="8" l="1"/>
  <c r="AM43" i="8"/>
  <c r="AP43" i="8"/>
  <c r="AO43" i="8"/>
  <c r="AN43" i="8"/>
  <c r="AV44" i="8"/>
  <c r="AR44" i="8"/>
  <c r="D43" i="8"/>
  <c r="C42" i="8"/>
  <c r="AU44" i="8"/>
  <c r="AT44" i="8"/>
  <c r="AS44" i="8"/>
  <c r="AN44" i="8" l="1"/>
  <c r="AQ44" i="8"/>
  <c r="AM44" i="8"/>
  <c r="AP44" i="8"/>
  <c r="AO44" i="8"/>
  <c r="AS45" i="8"/>
  <c r="AV45" i="8"/>
  <c r="AR45" i="8"/>
  <c r="D44" i="8"/>
  <c r="C43" i="8"/>
  <c r="AU45" i="8"/>
  <c r="AT45" i="8"/>
  <c r="AO45" i="8" l="1"/>
  <c r="AN45" i="8"/>
  <c r="AQ45" i="8"/>
  <c r="AM45" i="8"/>
  <c r="AP45" i="8"/>
  <c r="AT46" i="8"/>
  <c r="AS46" i="8"/>
  <c r="AV46" i="8"/>
  <c r="AR46" i="8"/>
  <c r="D45" i="8"/>
  <c r="C44" i="8"/>
  <c r="AU46" i="8"/>
  <c r="AP46" i="8" l="1"/>
  <c r="AO46" i="8"/>
  <c r="AN46" i="8"/>
  <c r="AQ46" i="8"/>
  <c r="AM46" i="8"/>
  <c r="C45" i="8"/>
  <c r="AU47" i="8"/>
  <c r="AT47" i="8"/>
  <c r="AS47" i="8"/>
  <c r="AV47" i="8"/>
  <c r="AR47" i="8"/>
  <c r="AQ47" i="8" l="1"/>
  <c r="AM47" i="8"/>
  <c r="AP47" i="8"/>
  <c r="AO47" i="8"/>
  <c r="AN47" i="8"/>
  <c r="BB18" i="5" l="1"/>
  <c r="N18" i="5"/>
  <c r="BB17" i="5"/>
  <c r="N17" i="5"/>
  <c r="M17" i="5"/>
  <c r="BB16" i="5"/>
  <c r="N16" i="5"/>
  <c r="BA16" i="5" s="1"/>
  <c r="M16" i="5"/>
  <c r="BB15" i="5"/>
  <c r="N15" i="5"/>
  <c r="BB14" i="5"/>
  <c r="N14" i="5"/>
  <c r="BA14" i="5" s="1"/>
  <c r="BB13" i="5"/>
  <c r="N13" i="5"/>
  <c r="BD6" i="5"/>
  <c r="BD5" i="5"/>
  <c r="BD4" i="5"/>
  <c r="O16" i="5" s="1"/>
  <c r="L15" i="4"/>
  <c r="K15" i="4"/>
  <c r="L14" i="4"/>
  <c r="K14" i="4"/>
  <c r="K13" i="4"/>
  <c r="BA18" i="5" l="1"/>
  <c r="BA17" i="5"/>
  <c r="M18" i="5"/>
  <c r="BA15" i="5"/>
  <c r="BE4" i="5"/>
  <c r="R13" i="5" s="1"/>
  <c r="BE5" i="5"/>
  <c r="BE6" i="5"/>
  <c r="O13" i="5"/>
  <c r="AX15" i="4"/>
  <c r="M15" i="4" s="1"/>
  <c r="AX13" i="4"/>
  <c r="M13" i="4" s="1"/>
  <c r="AX14" i="4"/>
  <c r="M14" i="4" s="1"/>
  <c r="J15" i="4"/>
  <c r="BA13" i="5"/>
  <c r="P16" i="5"/>
  <c r="AL16" i="5" s="1"/>
  <c r="J14" i="4"/>
  <c r="O14" i="5"/>
  <c r="P14" i="5" s="1"/>
  <c r="AL14" i="5" s="1"/>
  <c r="O17" i="5"/>
  <c r="P17" i="5" s="1"/>
  <c r="AL17" i="5" s="1"/>
  <c r="O18" i="5"/>
  <c r="P18" i="5" s="1"/>
  <c r="AL18" i="5" s="1"/>
  <c r="O15" i="5"/>
  <c r="AL74" i="5" l="1"/>
  <c r="P15" i="5"/>
  <c r="AL15" i="5" s="1"/>
  <c r="R15" i="5"/>
  <c r="S15" i="5" s="1"/>
  <c r="R18" i="5"/>
  <c r="Y18" i="5" s="1"/>
  <c r="R14" i="5"/>
  <c r="R17" i="5"/>
  <c r="Y17" i="5" s="1"/>
  <c r="Y13" i="5"/>
  <c r="R16" i="5"/>
  <c r="S16" i="5" s="1"/>
  <c r="P13" i="5"/>
  <c r="AL13" i="5" s="1"/>
  <c r="O15" i="4"/>
  <c r="V15" i="4" s="1"/>
  <c r="W15" i="4" s="1"/>
  <c r="O14" i="4"/>
  <c r="AL73" i="5" l="1"/>
  <c r="Y16" i="5"/>
  <c r="AB16" i="5" s="1"/>
  <c r="S13" i="5"/>
  <c r="V13" i="5" s="1"/>
  <c r="S17" i="5"/>
  <c r="U17" i="5" s="1"/>
  <c r="Y15" i="5"/>
  <c r="Z15" i="5" s="1"/>
  <c r="S18" i="5"/>
  <c r="U18" i="5" s="1"/>
  <c r="Y15" i="4"/>
  <c r="Z15" i="4"/>
  <c r="X15" i="4"/>
  <c r="P15" i="4"/>
  <c r="U16" i="5"/>
  <c r="V16" i="5"/>
  <c r="T16" i="5"/>
  <c r="AB17" i="5"/>
  <c r="AC17" i="5"/>
  <c r="AA17" i="5"/>
  <c r="Z17" i="5"/>
  <c r="AC18" i="5"/>
  <c r="AB18" i="5"/>
  <c r="AA18" i="5"/>
  <c r="Z18" i="5"/>
  <c r="AB13" i="5"/>
  <c r="AA13" i="5"/>
  <c r="Z13" i="5"/>
  <c r="AC13" i="5"/>
  <c r="V15" i="5"/>
  <c r="U15" i="5"/>
  <c r="T15" i="5"/>
  <c r="V14" i="4"/>
  <c r="P14" i="4"/>
  <c r="AD18" i="5" l="1"/>
  <c r="AE18" i="5" s="1"/>
  <c r="T18" i="5"/>
  <c r="U13" i="5"/>
  <c r="AC16" i="5"/>
  <c r="AB15" i="5"/>
  <c r="T13" i="5"/>
  <c r="AA16" i="5"/>
  <c r="V17" i="5"/>
  <c r="Z16" i="5"/>
  <c r="T17" i="5"/>
  <c r="AC15" i="5"/>
  <c r="V18" i="5"/>
  <c r="AA15" i="5"/>
  <c r="W15" i="5"/>
  <c r="X15" i="5" s="1"/>
  <c r="AA15" i="4"/>
  <c r="AB15" i="4" s="1"/>
  <c r="Q15" i="4"/>
  <c r="R15" i="4"/>
  <c r="S15" i="4"/>
  <c r="AD17" i="5"/>
  <c r="AE17" i="5" s="1"/>
  <c r="W16" i="5"/>
  <c r="X16" i="5" s="1"/>
  <c r="AD13" i="5"/>
  <c r="AE13" i="5" s="1"/>
  <c r="Z14" i="4"/>
  <c r="X14" i="4"/>
  <c r="Y14" i="4"/>
  <c r="W14" i="4"/>
  <c r="R14" i="4"/>
  <c r="Q14" i="4"/>
  <c r="S14" i="4"/>
  <c r="A29" i="11" l="1"/>
  <c r="A26" i="11"/>
  <c r="A25" i="11"/>
  <c r="A30" i="11"/>
  <c r="A24" i="11"/>
  <c r="A22" i="11"/>
  <c r="A20" i="11"/>
  <c r="A31" i="11"/>
  <c r="A23" i="11"/>
  <c r="A28" i="11"/>
  <c r="A18" i="11"/>
  <c r="A27" i="11"/>
  <c r="A19" i="11"/>
  <c r="W18" i="5"/>
  <c r="X18" i="5" s="1"/>
  <c r="Q18" i="5" s="1"/>
  <c r="W13" i="5"/>
  <c r="AD15" i="5"/>
  <c r="AE15" i="5" s="1"/>
  <c r="Q15" i="5" s="1"/>
  <c r="AD16" i="5"/>
  <c r="AE16" i="5" s="1"/>
  <c r="Q16" i="5" s="1"/>
  <c r="W17" i="5"/>
  <c r="X17" i="5" s="1"/>
  <c r="Q17" i="5" s="1"/>
  <c r="A17" i="11"/>
  <c r="T15" i="4"/>
  <c r="U15" i="4" s="1"/>
  <c r="A15" i="11" s="1"/>
  <c r="AA14" i="4"/>
  <c r="AB14" i="4" s="1"/>
  <c r="T14" i="4"/>
  <c r="U14" i="4" s="1"/>
  <c r="I18" i="5" l="1"/>
  <c r="AM18" i="5" s="1"/>
  <c r="I17" i="5"/>
  <c r="AM17" i="5" s="1"/>
  <c r="AY17" i="5" s="1"/>
  <c r="I16" i="5"/>
  <c r="X13" i="5"/>
  <c r="Q13" i="5" s="1"/>
  <c r="I15" i="5"/>
  <c r="AM15" i="5" s="1"/>
  <c r="A16" i="11"/>
  <c r="A14" i="11"/>
  <c r="A21" i="11"/>
  <c r="AJ15" i="4"/>
  <c r="I74" i="5" l="1"/>
  <c r="AF18" i="5"/>
  <c r="AI18" i="5" s="1"/>
  <c r="AF17" i="5"/>
  <c r="AG17" i="5" s="1"/>
  <c r="AM16" i="5"/>
  <c r="AF16" i="5"/>
  <c r="AI16" i="5" s="1"/>
  <c r="I13" i="5"/>
  <c r="AK15" i="4"/>
  <c r="BA15" i="4" s="1"/>
  <c r="AJ18" i="5"/>
  <c r="AY18" i="5"/>
  <c r="AC15" i="4"/>
  <c r="AG15" i="4" s="1"/>
  <c r="AJ14" i="4"/>
  <c r="AH17" i="5" l="1"/>
  <c r="AK17" i="5" s="1"/>
  <c r="AX17" i="5" s="1"/>
  <c r="AJ17" i="5"/>
  <c r="D74" i="5"/>
  <c r="G16" i="5" s="1"/>
  <c r="AM74" i="5"/>
  <c r="AM13" i="5"/>
  <c r="AI17" i="5"/>
  <c r="AG18" i="5"/>
  <c r="AH18" i="5"/>
  <c r="AJ16" i="5"/>
  <c r="AH16" i="5"/>
  <c r="AG16" i="5"/>
  <c r="AY16" i="5"/>
  <c r="AQ16" i="5" s="1"/>
  <c r="AQ74" i="5" s="1"/>
  <c r="AF13" i="5"/>
  <c r="AK14" i="4"/>
  <c r="BA14" i="4" s="1"/>
  <c r="AD15" i="4"/>
  <c r="AF15" i="4"/>
  <c r="AE15" i="4"/>
  <c r="AC14" i="4"/>
  <c r="AY13" i="5" l="1"/>
  <c r="AK16" i="5"/>
  <c r="AX16" i="5" s="1"/>
  <c r="AK18" i="5"/>
  <c r="AX18" i="5" s="1"/>
  <c r="AJ13" i="5"/>
  <c r="AI13" i="5"/>
  <c r="AG13" i="5"/>
  <c r="AH13" i="5"/>
  <c r="BB15" i="4"/>
  <c r="AD14" i="4"/>
  <c r="AZ15" i="4"/>
  <c r="AZ14" i="4"/>
  <c r="AG14" i="4"/>
  <c r="AL15" i="4"/>
  <c r="AO15" i="4" s="1"/>
  <c r="AE14" i="4"/>
  <c r="AF14" i="4"/>
  <c r="AS16" i="5" l="1"/>
  <c r="AS74" i="5" s="1"/>
  <c r="AK13" i="5"/>
  <c r="AX13" i="5" s="1"/>
  <c r="AN15" i="4"/>
  <c r="AM15" i="4"/>
  <c r="BC15" i="4"/>
  <c r="BB14" i="4"/>
  <c r="AN16" i="5"/>
  <c r="AN74" i="5" s="1"/>
  <c r="AV16" i="5"/>
  <c r="AL14" i="4"/>
  <c r="AO14" i="4" s="1"/>
  <c r="AW16" i="5" l="1"/>
  <c r="AW74" i="5" s="1"/>
  <c r="AP16" i="5"/>
  <c r="AP74" i="5" s="1"/>
  <c r="AR16" i="5"/>
  <c r="AV74" i="5"/>
  <c r="AO16" i="5"/>
  <c r="AO74" i="5" s="1"/>
  <c r="AP15" i="4"/>
  <c r="AT16" i="5"/>
  <c r="AN14" i="4"/>
  <c r="BC14" i="4"/>
  <c r="AM14" i="4"/>
  <c r="AP14" i="4" l="1"/>
  <c r="J13" i="4"/>
  <c r="O13" i="4" s="1"/>
  <c r="V13" i="4" l="1"/>
  <c r="Y13" i="4" s="1"/>
  <c r="P13" i="4"/>
  <c r="X13" i="4" l="1"/>
  <c r="S13" i="4"/>
  <c r="W13" i="4"/>
  <c r="Z13" i="4"/>
  <c r="R13" i="4"/>
  <c r="Q13" i="4"/>
  <c r="AA13" i="4" l="1"/>
  <c r="AB13" i="4" s="1"/>
  <c r="T13" i="4"/>
  <c r="U13" i="4" s="1"/>
  <c r="A13" i="11" l="1"/>
  <c r="AJ13" i="4" s="1"/>
  <c r="AK13" i="4" l="1"/>
  <c r="BA13" i="4" s="1"/>
  <c r="AC13" i="4"/>
  <c r="AG13" i="4" l="1"/>
  <c r="AL13" i="4"/>
  <c r="AE13" i="4"/>
  <c r="AF13" i="4"/>
  <c r="AD13" i="4"/>
  <c r="AZ13" i="4"/>
  <c r="AO13" i="4" l="1"/>
  <c r="BB13" i="4"/>
  <c r="AN13" i="4" l="1"/>
  <c r="F4" i="4" s="1"/>
  <c r="BC13" i="4"/>
  <c r="AM13" i="4"/>
  <c r="AP13" i="4" s="1"/>
  <c r="F6" i="4" l="1"/>
  <c r="AP6" i="4" s="1"/>
  <c r="F7" i="4"/>
  <c r="AO7" i="4" s="1"/>
  <c r="F5" i="4"/>
  <c r="AO5" i="4" s="1"/>
  <c r="F8" i="4"/>
  <c r="AO8" i="4" s="1"/>
  <c r="AO4" i="4"/>
  <c r="AP4" i="4"/>
  <c r="AM4" i="4"/>
  <c r="AN4" i="4"/>
  <c r="AL4" i="4"/>
  <c r="AJ4" i="4"/>
  <c r="AK4" i="4"/>
  <c r="G4" i="4"/>
  <c r="AL7" i="4" l="1"/>
  <c r="AK6" i="4"/>
  <c r="AN7" i="4"/>
  <c r="G7" i="4"/>
  <c r="AP7" i="4"/>
  <c r="AK7" i="4"/>
  <c r="AJ7" i="4"/>
  <c r="AM7" i="4"/>
  <c r="AO6" i="4"/>
  <c r="AL6" i="4"/>
  <c r="AJ6" i="4"/>
  <c r="AM6" i="4"/>
  <c r="AN6" i="4"/>
  <c r="G6" i="4"/>
  <c r="AK5" i="4"/>
  <c r="AL5" i="4"/>
  <c r="AL8" i="4"/>
  <c r="AJ5" i="4"/>
  <c r="AM5" i="4"/>
  <c r="G5" i="4"/>
  <c r="AN5" i="4"/>
  <c r="G8" i="4"/>
  <c r="AK8" i="4"/>
  <c r="AJ8" i="4"/>
  <c r="AN8" i="4"/>
  <c r="AP8" i="4"/>
  <c r="AP5" i="4"/>
  <c r="AM8" i="4"/>
  <c r="Y14" i="5"/>
  <c r="Z14" i="5" s="1"/>
  <c r="S14" i="5"/>
  <c r="T14" i="5" s="1"/>
  <c r="AC14" i="5" l="1"/>
  <c r="AA14" i="5"/>
  <c r="U14" i="5"/>
  <c r="V14" i="5"/>
  <c r="AB14" i="5"/>
  <c r="AD14" i="5" l="1"/>
  <c r="AE14" i="5" s="1"/>
  <c r="W14" i="5"/>
  <c r="X14" i="5" s="1"/>
  <c r="Q14" i="5" l="1"/>
  <c r="I14" i="5" l="1"/>
  <c r="AM14" i="5" l="1"/>
  <c r="AY14" i="5" s="1"/>
  <c r="I73" i="5"/>
  <c r="AF14" i="5"/>
  <c r="AJ14" i="5" s="1"/>
  <c r="D73" i="5" l="1"/>
  <c r="AM73" i="5"/>
  <c r="AH14" i="5"/>
  <c r="AG14" i="5"/>
  <c r="AI14" i="5"/>
  <c r="AK14" i="5" l="1"/>
  <c r="AX14" i="5" s="1"/>
  <c r="AY15" i="5"/>
  <c r="AQ13" i="5" s="1"/>
  <c r="AQ73" i="5" s="1"/>
  <c r="AF15" i="5" l="1"/>
  <c r="AJ15" i="5" s="1"/>
  <c r="G13" i="5" l="1"/>
  <c r="AI15" i="5"/>
  <c r="AH15" i="5"/>
  <c r="AG15" i="5"/>
  <c r="AK15" i="5" l="1"/>
  <c r="AX15" i="5" s="1"/>
  <c r="AS13" i="5" s="1"/>
  <c r="AS73" i="5" s="1"/>
  <c r="AW13" i="5" l="1"/>
  <c r="AW73" i="5" s="1"/>
  <c r="AO13" i="5"/>
  <c r="AO73" i="5" s="1"/>
  <c r="AT13" i="5" l="1"/>
  <c r="U19" i="9"/>
  <c r="F7" i="9" s="1"/>
  <c r="U23" i="9" l="1"/>
  <c r="F17" i="9" s="1"/>
  <c r="U24" i="9" l="1"/>
  <c r="F18" i="9"/>
  <c r="U20" i="9" s="1"/>
  <c r="F16" i="9"/>
  <c r="B20" i="9" l="1"/>
  <c r="I17" i="8"/>
  <c r="AG17" i="8" s="1"/>
  <c r="E5" i="9" l="1"/>
  <c r="Z7" i="14" s="1"/>
  <c r="AE7" i="14"/>
  <c r="H17" i="8"/>
  <c r="Y5" i="8" l="1"/>
  <c r="AW35" i="8" s="1"/>
  <c r="BG35" i="8" s="1"/>
  <c r="BQ35" i="8" s="1"/>
  <c r="AI17" i="8"/>
  <c r="J17" i="8"/>
  <c r="AW26" i="8" l="1"/>
  <c r="BG26" i="8" s="1"/>
  <c r="BQ26" i="8" s="1"/>
  <c r="AJ17" i="8"/>
  <c r="AW40" i="8"/>
  <c r="BG40" i="8" s="1"/>
  <c r="BQ40" i="8" s="1"/>
  <c r="AW19" i="8"/>
  <c r="BG19" i="8" s="1"/>
  <c r="AX19" i="8" s="1"/>
  <c r="BH19" i="8" s="1"/>
  <c r="AY19" i="8" s="1"/>
  <c r="BI19" i="8" s="1"/>
  <c r="AW22" i="8"/>
  <c r="BG22" i="8" s="1"/>
  <c r="BQ22" i="8" s="1"/>
  <c r="AW24" i="8"/>
  <c r="BG24" i="8" s="1"/>
  <c r="AX24" i="8" s="1"/>
  <c r="BH24" i="8" s="1"/>
  <c r="AY24" i="8" s="1"/>
  <c r="BI24" i="8" s="1"/>
  <c r="AW38" i="8"/>
  <c r="BG38" i="8" s="1"/>
  <c r="BQ38" i="8" s="1"/>
  <c r="AW44" i="8"/>
  <c r="BG44" i="8" s="1"/>
  <c r="BQ44" i="8" s="1"/>
  <c r="AW21" i="8"/>
  <c r="BG21" i="8" s="1"/>
  <c r="BQ21" i="8" s="1"/>
  <c r="AW39" i="8"/>
  <c r="BG39" i="8" s="1"/>
  <c r="AX39" i="8" s="1"/>
  <c r="BH39" i="8" s="1"/>
  <c r="AY39" i="8" s="1"/>
  <c r="BI39" i="8" s="1"/>
  <c r="AW47" i="8"/>
  <c r="BG47" i="8" s="1"/>
  <c r="AX47" i="8" s="1"/>
  <c r="BH47" i="8" s="1"/>
  <c r="BR47" i="8" s="1"/>
  <c r="AW32" i="8"/>
  <c r="BG32" i="8" s="1"/>
  <c r="BQ32" i="8" s="1"/>
  <c r="AW46" i="8"/>
  <c r="BG46" i="8" s="1"/>
  <c r="BQ46" i="8" s="1"/>
  <c r="AW30" i="8"/>
  <c r="BG30" i="8" s="1"/>
  <c r="AX30" i="8" s="1"/>
  <c r="BH30" i="8" s="1"/>
  <c r="BR30" i="8" s="1"/>
  <c r="AW29" i="8"/>
  <c r="BG29" i="8" s="1"/>
  <c r="AX29" i="8" s="1"/>
  <c r="BH29" i="8" s="1"/>
  <c r="BR29" i="8" s="1"/>
  <c r="AW43" i="8"/>
  <c r="BG43" i="8" s="1"/>
  <c r="BQ43" i="8" s="1"/>
  <c r="AW41" i="8"/>
  <c r="BG41" i="8" s="1"/>
  <c r="BQ41" i="8" s="1"/>
  <c r="AW31" i="8"/>
  <c r="BG31" i="8" s="1"/>
  <c r="AX31" i="8" s="1"/>
  <c r="BH31" i="8" s="1"/>
  <c r="BR31" i="8" s="1"/>
  <c r="AW37" i="8"/>
  <c r="BG37" i="8" s="1"/>
  <c r="AX37" i="8" s="1"/>
  <c r="BH37" i="8" s="1"/>
  <c r="AY37" i="8" s="1"/>
  <c r="BI37" i="8" s="1"/>
  <c r="AW23" i="8"/>
  <c r="BG23" i="8" s="1"/>
  <c r="BQ23" i="8" s="1"/>
  <c r="AW33" i="8"/>
  <c r="BG33" i="8" s="1"/>
  <c r="AX33" i="8" s="1"/>
  <c r="BH33" i="8" s="1"/>
  <c r="BR33" i="8" s="1"/>
  <c r="AW42" i="8"/>
  <c r="BG42" i="8" s="1"/>
  <c r="AX42" i="8" s="1"/>
  <c r="BH42" i="8" s="1"/>
  <c r="BR42" i="8" s="1"/>
  <c r="AW28" i="8"/>
  <c r="BG28" i="8" s="1"/>
  <c r="AX28" i="8" s="1"/>
  <c r="BH28" i="8" s="1"/>
  <c r="AY28" i="8" s="1"/>
  <c r="BI28" i="8" s="1"/>
  <c r="AW36" i="8"/>
  <c r="BG36" i="8" s="1"/>
  <c r="BQ36" i="8" s="1"/>
  <c r="AW25" i="8"/>
  <c r="BG25" i="8" s="1"/>
  <c r="AX25" i="8" s="1"/>
  <c r="BH25" i="8" s="1"/>
  <c r="BR25" i="8" s="1"/>
  <c r="AW27" i="8"/>
  <c r="BG27" i="8" s="1"/>
  <c r="BQ27" i="8" s="1"/>
  <c r="AW20" i="8"/>
  <c r="BG20" i="8" s="1"/>
  <c r="BQ20" i="8" s="1"/>
  <c r="AW34" i="8"/>
  <c r="BG34" i="8" s="1"/>
  <c r="AX34" i="8" s="1"/>
  <c r="BH34" i="8" s="1"/>
  <c r="AY34" i="8" s="1"/>
  <c r="BI34" i="8" s="1"/>
  <c r="AW45" i="8"/>
  <c r="BG45" i="8" s="1"/>
  <c r="BQ45" i="8" s="1"/>
  <c r="L17" i="8"/>
  <c r="M17" i="8" s="1"/>
  <c r="AX35" i="8"/>
  <c r="BH35" i="8" s="1"/>
  <c r="AY35" i="8" s="1"/>
  <c r="BI35" i="8" s="1"/>
  <c r="AX26" i="8" l="1"/>
  <c r="BH26" i="8" s="1"/>
  <c r="BR26" i="8" s="1"/>
  <c r="AX22" i="8"/>
  <c r="BH22" i="8" s="1"/>
  <c r="BR22" i="8" s="1"/>
  <c r="AX32" i="8"/>
  <c r="BH32" i="8" s="1"/>
  <c r="BR32" i="8" s="1"/>
  <c r="BQ39" i="8"/>
  <c r="AX46" i="8"/>
  <c r="BH46" i="8" s="1"/>
  <c r="BR46" i="8" s="1"/>
  <c r="AY33" i="8"/>
  <c r="BI33" i="8" s="1"/>
  <c r="AZ33" i="8" s="1"/>
  <c r="BJ33" i="8" s="1"/>
  <c r="AX21" i="8"/>
  <c r="BH21" i="8" s="1"/>
  <c r="AY21" i="8" s="1"/>
  <c r="BI21" i="8" s="1"/>
  <c r="BS21" i="8" s="1"/>
  <c r="AY25" i="8"/>
  <c r="BI25" i="8" s="1"/>
  <c r="BS25" i="8" s="1"/>
  <c r="AX40" i="8"/>
  <c r="BH40" i="8" s="1"/>
  <c r="BR40" i="8" s="1"/>
  <c r="BR19" i="8"/>
  <c r="AF18" i="8"/>
  <c r="AG18" i="8" s="1"/>
  <c r="BQ19" i="8"/>
  <c r="BR24" i="8"/>
  <c r="BQ25" i="8"/>
  <c r="BQ24" i="8"/>
  <c r="BQ30" i="8"/>
  <c r="AX43" i="8"/>
  <c r="BH43" i="8" s="1"/>
  <c r="AY43" i="8" s="1"/>
  <c r="BI43" i="8" s="1"/>
  <c r="AZ43" i="8" s="1"/>
  <c r="BJ43" i="8" s="1"/>
  <c r="AX36" i="8"/>
  <c r="BH36" i="8" s="1"/>
  <c r="BR36" i="8" s="1"/>
  <c r="BR34" i="8"/>
  <c r="AX23" i="8"/>
  <c r="BH23" i="8" s="1"/>
  <c r="BR23" i="8" s="1"/>
  <c r="AX38" i="8"/>
  <c r="BH38" i="8" s="1"/>
  <c r="BR38" i="8" s="1"/>
  <c r="BQ34" i="8"/>
  <c r="AX44" i="8"/>
  <c r="BH44" i="8" s="1"/>
  <c r="AY44" i="8" s="1"/>
  <c r="BI44" i="8" s="1"/>
  <c r="BS44" i="8" s="1"/>
  <c r="AX41" i="8"/>
  <c r="BH41" i="8" s="1"/>
  <c r="AY41" i="8" s="1"/>
  <c r="BI41" i="8" s="1"/>
  <c r="AZ41" i="8" s="1"/>
  <c r="BJ41" i="8" s="1"/>
  <c r="BQ31" i="8"/>
  <c r="BR39" i="8"/>
  <c r="AY42" i="8"/>
  <c r="BI42" i="8" s="1"/>
  <c r="BS42" i="8" s="1"/>
  <c r="AX45" i="8"/>
  <c r="BH45" i="8" s="1"/>
  <c r="BR45" i="8" s="1"/>
  <c r="BQ33" i="8"/>
  <c r="AX20" i="8"/>
  <c r="BH20" i="8" s="1"/>
  <c r="AY20" i="8" s="1"/>
  <c r="BI20" i="8" s="1"/>
  <c r="BS20" i="8" s="1"/>
  <c r="AY47" i="8"/>
  <c r="BI47" i="8" s="1"/>
  <c r="BS47" i="8" s="1"/>
  <c r="BQ42" i="8"/>
  <c r="BQ47" i="8"/>
  <c r="AY29" i="8"/>
  <c r="BI29" i="8" s="1"/>
  <c r="BS29" i="8" s="1"/>
  <c r="BQ29" i="8"/>
  <c r="AX27" i="8"/>
  <c r="BH27" i="8" s="1"/>
  <c r="BR27" i="8" s="1"/>
  <c r="BR28" i="8"/>
  <c r="BR37" i="8"/>
  <c r="BQ37" i="8"/>
  <c r="BQ28" i="8"/>
  <c r="N17" i="8"/>
  <c r="AY31" i="8"/>
  <c r="BI31" i="8" s="1"/>
  <c r="AZ31" i="8" s="1"/>
  <c r="BJ31" i="8" s="1"/>
  <c r="AY30" i="8"/>
  <c r="BI30" i="8" s="1"/>
  <c r="BS30" i="8" s="1"/>
  <c r="BR35" i="8"/>
  <c r="BS35" i="8"/>
  <c r="AZ35" i="8"/>
  <c r="BJ35" i="8" s="1"/>
  <c r="BS19" i="8"/>
  <c r="AZ19" i="8"/>
  <c r="BJ19" i="8" s="1"/>
  <c r="BS39" i="8"/>
  <c r="AZ39" i="8"/>
  <c r="BJ39" i="8" s="1"/>
  <c r="BS24" i="8"/>
  <c r="AZ24" i="8"/>
  <c r="BJ24" i="8" s="1"/>
  <c r="BS37" i="8"/>
  <c r="AZ37" i="8"/>
  <c r="BJ37" i="8" s="1"/>
  <c r="BS28" i="8"/>
  <c r="AZ28" i="8"/>
  <c r="BJ28" i="8" s="1"/>
  <c r="BS34" i="8"/>
  <c r="AZ34" i="8"/>
  <c r="BJ34" i="8" s="1"/>
  <c r="AY22" i="8" l="1"/>
  <c r="BI22" i="8" s="1"/>
  <c r="BS22" i="8" s="1"/>
  <c r="AY26" i="8"/>
  <c r="BI26" i="8" s="1"/>
  <c r="AZ26" i="8" s="1"/>
  <c r="BJ26" i="8" s="1"/>
  <c r="BA26" i="8" s="1"/>
  <c r="BK26" i="8" s="1"/>
  <c r="BS33" i="8"/>
  <c r="AY46" i="8"/>
  <c r="BI46" i="8" s="1"/>
  <c r="AZ46" i="8" s="1"/>
  <c r="BJ46" i="8" s="1"/>
  <c r="BA46" i="8" s="1"/>
  <c r="BK46" i="8" s="1"/>
  <c r="BR21" i="8"/>
  <c r="AY32" i="8"/>
  <c r="BI32" i="8" s="1"/>
  <c r="BS32" i="8" s="1"/>
  <c r="AZ21" i="8"/>
  <c r="BJ21" i="8" s="1"/>
  <c r="BA21" i="8" s="1"/>
  <c r="BK21" i="8" s="1"/>
  <c r="AZ25" i="8"/>
  <c r="BJ25" i="8" s="1"/>
  <c r="BT25" i="8" s="1"/>
  <c r="AY40" i="8"/>
  <c r="BI40" i="8" s="1"/>
  <c r="BS40" i="8" s="1"/>
  <c r="BS43" i="8"/>
  <c r="AZ44" i="8"/>
  <c r="BJ44" i="8" s="1"/>
  <c r="BT44" i="8" s="1"/>
  <c r="BR43" i="8"/>
  <c r="AY36" i="8"/>
  <c r="BI36" i="8" s="1"/>
  <c r="BS36" i="8" s="1"/>
  <c r="BR41" i="8"/>
  <c r="BR44" i="8"/>
  <c r="BS41" i="8"/>
  <c r="AY45" i="8"/>
  <c r="BI45" i="8" s="1"/>
  <c r="AZ45" i="8" s="1"/>
  <c r="BJ45" i="8" s="1"/>
  <c r="BA45" i="8" s="1"/>
  <c r="BK45" i="8" s="1"/>
  <c r="AY23" i="8"/>
  <c r="BI23" i="8" s="1"/>
  <c r="BS23" i="8" s="1"/>
  <c r="AY38" i="8"/>
  <c r="BI38" i="8" s="1"/>
  <c r="BS38" i="8" s="1"/>
  <c r="AY27" i="8"/>
  <c r="BI27" i="8" s="1"/>
  <c r="AZ27" i="8" s="1"/>
  <c r="BJ27" i="8" s="1"/>
  <c r="BT27" i="8" s="1"/>
  <c r="AZ20" i="8"/>
  <c r="BJ20" i="8" s="1"/>
  <c r="BT20" i="8" s="1"/>
  <c r="AZ29" i="8"/>
  <c r="BJ29" i="8" s="1"/>
  <c r="BT29" i="8" s="1"/>
  <c r="BR20" i="8"/>
  <c r="AZ42" i="8"/>
  <c r="BJ42" i="8" s="1"/>
  <c r="BT42" i="8" s="1"/>
  <c r="AZ47" i="8"/>
  <c r="BJ47" i="8" s="1"/>
  <c r="BT47" i="8" s="1"/>
  <c r="BS31" i="8"/>
  <c r="AZ30" i="8"/>
  <c r="BJ30" i="8" s="1"/>
  <c r="BA30" i="8" s="1"/>
  <c r="BK30" i="8" s="1"/>
  <c r="BT19" i="8"/>
  <c r="BA19" i="8"/>
  <c r="BK19" i="8" s="1"/>
  <c r="BT43" i="8"/>
  <c r="BA43" i="8"/>
  <c r="BK43" i="8" s="1"/>
  <c r="BT31" i="8"/>
  <c r="BA31" i="8"/>
  <c r="BK31" i="8" s="1"/>
  <c r="BT24" i="8"/>
  <c r="BA24" i="8"/>
  <c r="BK24" i="8" s="1"/>
  <c r="BT34" i="8"/>
  <c r="BA34" i="8"/>
  <c r="BK34" i="8" s="1"/>
  <c r="BT35" i="8"/>
  <c r="BA35" i="8"/>
  <c r="BK35" i="8" s="1"/>
  <c r="BT28" i="8"/>
  <c r="BA28" i="8"/>
  <c r="BK28" i="8" s="1"/>
  <c r="BT33" i="8"/>
  <c r="BA33" i="8"/>
  <c r="BK33" i="8" s="1"/>
  <c r="BT37" i="8"/>
  <c r="BA37" i="8"/>
  <c r="BK37" i="8" s="1"/>
  <c r="BT41" i="8"/>
  <c r="BA41" i="8"/>
  <c r="BK41" i="8" s="1"/>
  <c r="BT39" i="8"/>
  <c r="BA39" i="8"/>
  <c r="BK39" i="8" s="1"/>
  <c r="BT26" i="8" l="1"/>
  <c r="BS26" i="8"/>
  <c r="AZ22" i="8"/>
  <c r="BJ22" i="8" s="1"/>
  <c r="BT22" i="8" s="1"/>
  <c r="BS46" i="8"/>
  <c r="BT46" i="8"/>
  <c r="AZ32" i="8"/>
  <c r="BJ32" i="8" s="1"/>
  <c r="BA32" i="8" s="1"/>
  <c r="BK32" i="8" s="1"/>
  <c r="BU32" i="8" s="1"/>
  <c r="BT21" i="8"/>
  <c r="BS45" i="8"/>
  <c r="BA25" i="8"/>
  <c r="BK25" i="8" s="1"/>
  <c r="BB25" i="8" s="1"/>
  <c r="BL25" i="8" s="1"/>
  <c r="AZ40" i="8"/>
  <c r="BJ40" i="8" s="1"/>
  <c r="BT40" i="8" s="1"/>
  <c r="BA44" i="8"/>
  <c r="BK44" i="8" s="1"/>
  <c r="BB44" i="8" s="1"/>
  <c r="BL44" i="8" s="1"/>
  <c r="AZ36" i="8"/>
  <c r="BJ36" i="8" s="1"/>
  <c r="BT36" i="8" s="1"/>
  <c r="AZ23" i="8"/>
  <c r="BJ23" i="8" s="1"/>
  <c r="BA23" i="8" s="1"/>
  <c r="BK23" i="8" s="1"/>
  <c r="BU23" i="8" s="1"/>
  <c r="BT45" i="8"/>
  <c r="BA20" i="8"/>
  <c r="BK20" i="8" s="1"/>
  <c r="BU20" i="8" s="1"/>
  <c r="BS27" i="8"/>
  <c r="AZ38" i="8"/>
  <c r="BJ38" i="8" s="1"/>
  <c r="BT38" i="8" s="1"/>
  <c r="BA27" i="8"/>
  <c r="BK27" i="8" s="1"/>
  <c r="BB27" i="8" s="1"/>
  <c r="BL27" i="8" s="1"/>
  <c r="BA29" i="8"/>
  <c r="BK29" i="8" s="1"/>
  <c r="BU29" i="8" s="1"/>
  <c r="BA47" i="8"/>
  <c r="BK47" i="8" s="1"/>
  <c r="BU47" i="8" s="1"/>
  <c r="BA42" i="8"/>
  <c r="BK42" i="8" s="1"/>
  <c r="BB42" i="8" s="1"/>
  <c r="BL42" i="8" s="1"/>
  <c r="BT30" i="8"/>
  <c r="BU26" i="8"/>
  <c r="BB26" i="8"/>
  <c r="BL26" i="8" s="1"/>
  <c r="BU33" i="8"/>
  <c r="BB33" i="8"/>
  <c r="BL33" i="8" s="1"/>
  <c r="BB24" i="8"/>
  <c r="BL24" i="8" s="1"/>
  <c r="BU24" i="8"/>
  <c r="BU19" i="8"/>
  <c r="BB19" i="8"/>
  <c r="BL19" i="8" s="1"/>
  <c r="BU46" i="8"/>
  <c r="BB46" i="8"/>
  <c r="BL46" i="8" s="1"/>
  <c r="BU30" i="8"/>
  <c r="BB30" i="8"/>
  <c r="BL30" i="8" s="1"/>
  <c r="BU34" i="8"/>
  <c r="BB34" i="8"/>
  <c r="BL34" i="8" s="1"/>
  <c r="BU31" i="8"/>
  <c r="BB31" i="8"/>
  <c r="BL31" i="8" s="1"/>
  <c r="BU45" i="8"/>
  <c r="BB45" i="8"/>
  <c r="BL45" i="8" s="1"/>
  <c r="BB37" i="8"/>
  <c r="BL37" i="8" s="1"/>
  <c r="BU37" i="8"/>
  <c r="BB35" i="8"/>
  <c r="BL35" i="8" s="1"/>
  <c r="BU35" i="8"/>
  <c r="BU21" i="8"/>
  <c r="BB21" i="8"/>
  <c r="BL21" i="8" s="1"/>
  <c r="BU43" i="8"/>
  <c r="BB43" i="8"/>
  <c r="BL43" i="8" s="1"/>
  <c r="BU39" i="8"/>
  <c r="BB39" i="8"/>
  <c r="BL39" i="8" s="1"/>
  <c r="BU41" i="8"/>
  <c r="BB41" i="8"/>
  <c r="BL41" i="8" s="1"/>
  <c r="BU28" i="8"/>
  <c r="BB28" i="8"/>
  <c r="BL28" i="8" s="1"/>
  <c r="BB32" i="8" l="1"/>
  <c r="BL32" i="8" s="1"/>
  <c r="BV32" i="8" s="1"/>
  <c r="BA22" i="8"/>
  <c r="BK22" i="8" s="1"/>
  <c r="BB22" i="8" s="1"/>
  <c r="BL22" i="8" s="1"/>
  <c r="BC22" i="8" s="1"/>
  <c r="BM22" i="8" s="1"/>
  <c r="BT32" i="8"/>
  <c r="BU25" i="8"/>
  <c r="BU44" i="8"/>
  <c r="BA40" i="8"/>
  <c r="BK40" i="8" s="1"/>
  <c r="BB40" i="8" s="1"/>
  <c r="BL40" i="8" s="1"/>
  <c r="BC40" i="8" s="1"/>
  <c r="BM40" i="8" s="1"/>
  <c r="BB29" i="8"/>
  <c r="BL29" i="8" s="1"/>
  <c r="BV29" i="8" s="1"/>
  <c r="BA36" i="8"/>
  <c r="BK36" i="8" s="1"/>
  <c r="BU36" i="8" s="1"/>
  <c r="BU27" i="8"/>
  <c r="BT23" i="8"/>
  <c r="BB20" i="8"/>
  <c r="BL20" i="8" s="1"/>
  <c r="BC20" i="8" s="1"/>
  <c r="BM20" i="8" s="1"/>
  <c r="BB23" i="8"/>
  <c r="BL23" i="8" s="1"/>
  <c r="BC23" i="8" s="1"/>
  <c r="BM23" i="8" s="1"/>
  <c r="BA38" i="8"/>
  <c r="BK38" i="8" s="1"/>
  <c r="BB47" i="8"/>
  <c r="BL47" i="8" s="1"/>
  <c r="BV47" i="8" s="1"/>
  <c r="BU42" i="8"/>
  <c r="BV43" i="8"/>
  <c r="BC43" i="8"/>
  <c r="BM43" i="8" s="1"/>
  <c r="BV35" i="8"/>
  <c r="BC35" i="8"/>
  <c r="BM35" i="8" s="1"/>
  <c r="BV28" i="8"/>
  <c r="BC28" i="8"/>
  <c r="BM28" i="8" s="1"/>
  <c r="BV21" i="8"/>
  <c r="BC21" i="8"/>
  <c r="BM21" i="8" s="1"/>
  <c r="BV25" i="8"/>
  <c r="BC25" i="8"/>
  <c r="BM25" i="8" s="1"/>
  <c r="BV31" i="8"/>
  <c r="BC31" i="8"/>
  <c r="BM31" i="8" s="1"/>
  <c r="BV27" i="8"/>
  <c r="BC27" i="8"/>
  <c r="BM27" i="8" s="1"/>
  <c r="BV34" i="8"/>
  <c r="BC34" i="8"/>
  <c r="BM34" i="8" s="1"/>
  <c r="BV19" i="8"/>
  <c r="BC19" i="8"/>
  <c r="BM19" i="8" s="1"/>
  <c r="BV26" i="8"/>
  <c r="BC26" i="8"/>
  <c r="BM26" i="8" s="1"/>
  <c r="BV44" i="8"/>
  <c r="BC44" i="8"/>
  <c r="BM44" i="8" s="1"/>
  <c r="BV42" i="8"/>
  <c r="BC42" i="8"/>
  <c r="BM42" i="8" s="1"/>
  <c r="BV30" i="8"/>
  <c r="BC30" i="8"/>
  <c r="BM30" i="8" s="1"/>
  <c r="BV41" i="8"/>
  <c r="BC41" i="8"/>
  <c r="BM41" i="8" s="1"/>
  <c r="BV39" i="8"/>
  <c r="BC39" i="8"/>
  <c r="BM39" i="8" s="1"/>
  <c r="BV37" i="8"/>
  <c r="BC37" i="8"/>
  <c r="BM37" i="8" s="1"/>
  <c r="BV46" i="8"/>
  <c r="BC46" i="8"/>
  <c r="BM46" i="8" s="1"/>
  <c r="BV24" i="8"/>
  <c r="BC24" i="8"/>
  <c r="BM24" i="8" s="1"/>
  <c r="BV45" i="8"/>
  <c r="BC45" i="8"/>
  <c r="BM45" i="8" s="1"/>
  <c r="BV33" i="8"/>
  <c r="BC33" i="8"/>
  <c r="BM33" i="8" s="1"/>
  <c r="BV22" i="8" l="1"/>
  <c r="BC32" i="8"/>
  <c r="BM32" i="8" s="1"/>
  <c r="BD32" i="8" s="1"/>
  <c r="BN32" i="8" s="1"/>
  <c r="BU22" i="8"/>
  <c r="BU40" i="8"/>
  <c r="BC29" i="8"/>
  <c r="BM29" i="8" s="1"/>
  <c r="BW29" i="8" s="1"/>
  <c r="BV40" i="8"/>
  <c r="BB36" i="8"/>
  <c r="BL36" i="8" s="1"/>
  <c r="BV36" i="8" s="1"/>
  <c r="BV23" i="8"/>
  <c r="BV20" i="8"/>
  <c r="BC47" i="8"/>
  <c r="BM47" i="8" s="1"/>
  <c r="BD47" i="8" s="1"/>
  <c r="BN47" i="8" s="1"/>
  <c r="BB38" i="8"/>
  <c r="BL38" i="8" s="1"/>
  <c r="BU38" i="8"/>
  <c r="BW23" i="8"/>
  <c r="BD23" i="8"/>
  <c r="BN23" i="8" s="1"/>
  <c r="BW46" i="8"/>
  <c r="BD46" i="8"/>
  <c r="BN46" i="8" s="1"/>
  <c r="BW39" i="8"/>
  <c r="BD39" i="8"/>
  <c r="BN39" i="8" s="1"/>
  <c r="BW34" i="8"/>
  <c r="BD34" i="8"/>
  <c r="BN34" i="8" s="1"/>
  <c r="BW21" i="8"/>
  <c r="BD21" i="8"/>
  <c r="BN21" i="8" s="1"/>
  <c r="BW40" i="8"/>
  <c r="BD40" i="8"/>
  <c r="BN40" i="8" s="1"/>
  <c r="BD42" i="8"/>
  <c r="BN42" i="8" s="1"/>
  <c r="BW42" i="8"/>
  <c r="BW33" i="8"/>
  <c r="BD33" i="8"/>
  <c r="BN33" i="8" s="1"/>
  <c r="BD45" i="8"/>
  <c r="BN45" i="8" s="1"/>
  <c r="BW45" i="8"/>
  <c r="BW24" i="8"/>
  <c r="BD24" i="8"/>
  <c r="BN24" i="8" s="1"/>
  <c r="BW20" i="8"/>
  <c r="BD20" i="8"/>
  <c r="BN20" i="8" s="1"/>
  <c r="BW41" i="8"/>
  <c r="BD41" i="8"/>
  <c r="BN41" i="8" s="1"/>
  <c r="BW44" i="8"/>
  <c r="BD44" i="8"/>
  <c r="BN44" i="8" s="1"/>
  <c r="BW19" i="8"/>
  <c r="BD19" i="8"/>
  <c r="BN19" i="8" s="1"/>
  <c r="BD27" i="8"/>
  <c r="BN27" i="8" s="1"/>
  <c r="BW27" i="8"/>
  <c r="BW25" i="8"/>
  <c r="BD25" i="8"/>
  <c r="BN25" i="8" s="1"/>
  <c r="BW28" i="8"/>
  <c r="BD28" i="8"/>
  <c r="BN28" i="8" s="1"/>
  <c r="BW35" i="8"/>
  <c r="BD35" i="8"/>
  <c r="BN35" i="8" s="1"/>
  <c r="BW22" i="8"/>
  <c r="BD22" i="8"/>
  <c r="BN22" i="8" s="1"/>
  <c r="BD37" i="8"/>
  <c r="BN37" i="8" s="1"/>
  <c r="BW37" i="8"/>
  <c r="BD30" i="8"/>
  <c r="BN30" i="8" s="1"/>
  <c r="BW30" i="8"/>
  <c r="BW26" i="8"/>
  <c r="BD26" i="8"/>
  <c r="BN26" i="8" s="1"/>
  <c r="BW31" i="8"/>
  <c r="BD31" i="8"/>
  <c r="BN31" i="8" s="1"/>
  <c r="BW43" i="8"/>
  <c r="BD43" i="8"/>
  <c r="BN43" i="8" s="1"/>
  <c r="BD29" i="8" l="1"/>
  <c r="BN29" i="8" s="1"/>
  <c r="BE29" i="8" s="1"/>
  <c r="BO29" i="8" s="1"/>
  <c r="BW32" i="8"/>
  <c r="BC36" i="8"/>
  <c r="BM36" i="8" s="1"/>
  <c r="BW36" i="8" s="1"/>
  <c r="BW47" i="8"/>
  <c r="BV38" i="8"/>
  <c r="BC38" i="8"/>
  <c r="BM38" i="8" s="1"/>
  <c r="BX32" i="8"/>
  <c r="BE32" i="8"/>
  <c r="BO32" i="8" s="1"/>
  <c r="BX19" i="8"/>
  <c r="BE19" i="8"/>
  <c r="BO19" i="8" s="1"/>
  <c r="BX34" i="8"/>
  <c r="BE34" i="8"/>
  <c r="BO34" i="8" s="1"/>
  <c r="BX42" i="8"/>
  <c r="BE42" i="8"/>
  <c r="BO42" i="8" s="1"/>
  <c r="BE35" i="8"/>
  <c r="BO35" i="8" s="1"/>
  <c r="BX35" i="8"/>
  <c r="BE20" i="8"/>
  <c r="BO20" i="8" s="1"/>
  <c r="BX20" i="8"/>
  <c r="BX47" i="8"/>
  <c r="BE47" i="8"/>
  <c r="BO47" i="8" s="1"/>
  <c r="BX28" i="8"/>
  <c r="BE28" i="8"/>
  <c r="BO28" i="8" s="1"/>
  <c r="BX44" i="8"/>
  <c r="BE44" i="8"/>
  <c r="BO44" i="8" s="1"/>
  <c r="BX41" i="8"/>
  <c r="BE41" i="8"/>
  <c r="BO41" i="8" s="1"/>
  <c r="BX33" i="8"/>
  <c r="BE33" i="8"/>
  <c r="BO33" i="8" s="1"/>
  <c r="BX40" i="8"/>
  <c r="BE40" i="8"/>
  <c r="BO40" i="8" s="1"/>
  <c r="BX21" i="8"/>
  <c r="BE21" i="8"/>
  <c r="BO21" i="8" s="1"/>
  <c r="BX39" i="8"/>
  <c r="BE39" i="8"/>
  <c r="BO39" i="8" s="1"/>
  <c r="BX23" i="8"/>
  <c r="BE23" i="8"/>
  <c r="BO23" i="8" s="1"/>
  <c r="BX31" i="8"/>
  <c r="BE31" i="8"/>
  <c r="BO31" i="8" s="1"/>
  <c r="BE22" i="8"/>
  <c r="BO22" i="8" s="1"/>
  <c r="BX22" i="8"/>
  <c r="BX25" i="8"/>
  <c r="BE25" i="8"/>
  <c r="BO25" i="8" s="1"/>
  <c r="BE24" i="8"/>
  <c r="BO24" i="8" s="1"/>
  <c r="BX24" i="8"/>
  <c r="BX46" i="8"/>
  <c r="BE46" i="8"/>
  <c r="BO46" i="8" s="1"/>
  <c r="BX30" i="8"/>
  <c r="BE30" i="8"/>
  <c r="BO30" i="8" s="1"/>
  <c r="BX43" i="8"/>
  <c r="BE43" i="8"/>
  <c r="BO43" i="8" s="1"/>
  <c r="BX26" i="8"/>
  <c r="BE26" i="8"/>
  <c r="BO26" i="8" s="1"/>
  <c r="BX37" i="8"/>
  <c r="BE37" i="8"/>
  <c r="BO37" i="8" s="1"/>
  <c r="BX27" i="8"/>
  <c r="BE27" i="8"/>
  <c r="BO27" i="8" s="1"/>
  <c r="BX45" i="8"/>
  <c r="BE45" i="8"/>
  <c r="BO45" i="8" s="1"/>
  <c r="BX29" i="8" l="1"/>
  <c r="BD36" i="8"/>
  <c r="BN36" i="8" s="1"/>
  <c r="BX36" i="8" s="1"/>
  <c r="BW38" i="8"/>
  <c r="BD38" i="8"/>
  <c r="BN38" i="8" s="1"/>
  <c r="BY27" i="8"/>
  <c r="BF27" i="8"/>
  <c r="BP27" i="8" s="1"/>
  <c r="E25" i="8" s="1"/>
  <c r="BY30" i="8"/>
  <c r="BF30" i="8"/>
  <c r="BP30" i="8" s="1"/>
  <c r="E28" i="8" s="1"/>
  <c r="BY31" i="8"/>
  <c r="BF31" i="8"/>
  <c r="BP31" i="8" s="1"/>
  <c r="E29" i="8" s="1"/>
  <c r="BF39" i="8"/>
  <c r="BP39" i="8" s="1"/>
  <c r="E37" i="8" s="1"/>
  <c r="BY39" i="8"/>
  <c r="BY44" i="8"/>
  <c r="BF44" i="8"/>
  <c r="BP44" i="8" s="1"/>
  <c r="E42" i="8" s="1"/>
  <c r="BY47" i="8"/>
  <c r="BF47" i="8"/>
  <c r="BP47" i="8" s="1"/>
  <c r="E45" i="8" s="1"/>
  <c r="BF34" i="8"/>
  <c r="BP34" i="8" s="1"/>
  <c r="E32" i="8" s="1"/>
  <c r="BY34" i="8"/>
  <c r="BY24" i="8"/>
  <c r="BF24" i="8"/>
  <c r="BP24" i="8" s="1"/>
  <c r="E22" i="8" s="1"/>
  <c r="BY35" i="8"/>
  <c r="BF35" i="8"/>
  <c r="BP35" i="8" s="1"/>
  <c r="E33" i="8" s="1"/>
  <c r="BY37" i="8"/>
  <c r="BF37" i="8"/>
  <c r="BP37" i="8" s="1"/>
  <c r="E35" i="8" s="1"/>
  <c r="BY40" i="8"/>
  <c r="BF40" i="8"/>
  <c r="BP40" i="8" s="1"/>
  <c r="E38" i="8" s="1"/>
  <c r="BY23" i="8"/>
  <c r="BF23" i="8"/>
  <c r="BP23" i="8" s="1"/>
  <c r="E21" i="8" s="1"/>
  <c r="BY21" i="8"/>
  <c r="BF21" i="8"/>
  <c r="BP21" i="8" s="1"/>
  <c r="E19" i="8" s="1"/>
  <c r="BY33" i="8"/>
  <c r="BF33" i="8"/>
  <c r="BP33" i="8" s="1"/>
  <c r="E31" i="8" s="1"/>
  <c r="BY41" i="8"/>
  <c r="BF41" i="8"/>
  <c r="BP41" i="8" s="1"/>
  <c r="E39" i="8" s="1"/>
  <c r="BY28" i="8"/>
  <c r="BF28" i="8"/>
  <c r="BP28" i="8" s="1"/>
  <c r="E26" i="8" s="1"/>
  <c r="BF42" i="8"/>
  <c r="BP42" i="8" s="1"/>
  <c r="E40" i="8" s="1"/>
  <c r="BY42" i="8"/>
  <c r="BY19" i="8"/>
  <c r="BF19" i="8"/>
  <c r="BP19" i="8" s="1"/>
  <c r="BY32" i="8"/>
  <c r="BF32" i="8"/>
  <c r="BP32" i="8" s="1"/>
  <c r="E30" i="8" s="1"/>
  <c r="BF26" i="8"/>
  <c r="BP26" i="8" s="1"/>
  <c r="E24" i="8" s="1"/>
  <c r="BY26" i="8"/>
  <c r="BY25" i="8"/>
  <c r="BF25" i="8"/>
  <c r="BP25" i="8" s="1"/>
  <c r="E23" i="8" s="1"/>
  <c r="BY45" i="8"/>
  <c r="BF45" i="8"/>
  <c r="BP45" i="8" s="1"/>
  <c r="E43" i="8" s="1"/>
  <c r="BY29" i="8"/>
  <c r="BF29" i="8"/>
  <c r="BP29" i="8" s="1"/>
  <c r="E27" i="8" s="1"/>
  <c r="BY43" i="8"/>
  <c r="BF43" i="8"/>
  <c r="BP43" i="8" s="1"/>
  <c r="E41" i="8" s="1"/>
  <c r="BY46" i="8"/>
  <c r="BF46" i="8"/>
  <c r="BP46" i="8" s="1"/>
  <c r="E44" i="8" s="1"/>
  <c r="BY22" i="8"/>
  <c r="BF22" i="8"/>
  <c r="BP22" i="8" s="1"/>
  <c r="E20" i="8" s="1"/>
  <c r="BY20" i="8"/>
  <c r="BF20" i="8"/>
  <c r="BP20" i="8" s="1"/>
  <c r="E18" i="8" s="1"/>
  <c r="E17" i="8" l="1"/>
  <c r="BE36" i="8"/>
  <c r="BO36" i="8" s="1"/>
  <c r="BY36" i="8" s="1"/>
  <c r="BE38" i="8"/>
  <c r="BO38" i="8" s="1"/>
  <c r="BX38" i="8"/>
  <c r="BF36" i="8" l="1"/>
  <c r="BP36" i="8" s="1"/>
  <c r="E34" i="8" s="1"/>
  <c r="BY38" i="8"/>
  <c r="BF38" i="8"/>
  <c r="BP38" i="8" s="1"/>
  <c r="E36" i="8" s="1"/>
  <c r="I27" i="8"/>
  <c r="B21" i="8" l="1"/>
  <c r="B20" i="8" s="1"/>
  <c r="I28" i="8"/>
  <c r="I29" i="8" l="1"/>
  <c r="I30" i="8" l="1"/>
  <c r="I31" i="8" l="1"/>
  <c r="I32" i="8" l="1"/>
  <c r="I33" i="8" l="1"/>
  <c r="I34" i="8" l="1"/>
  <c r="I35" i="8" l="1"/>
  <c r="I36" i="8" l="1"/>
  <c r="I37" i="8" l="1"/>
  <c r="I38" i="8" l="1"/>
  <c r="I39" i="8" l="1"/>
  <c r="I40" i="8" l="1"/>
  <c r="I41" i="8" l="1"/>
  <c r="I42" i="8" l="1"/>
  <c r="I43" i="8" l="1"/>
  <c r="I44" i="8" l="1"/>
  <c r="I45" i="8" l="1"/>
  <c r="I46" i="8" l="1"/>
  <c r="I47" i="8" l="1"/>
  <c r="I48" i="8" l="1"/>
  <c r="I49" i="8" l="1"/>
  <c r="I50" i="8" l="1"/>
  <c r="I51" i="8" l="1"/>
  <c r="I52" i="8" l="1"/>
  <c r="I53" i="8" l="1"/>
  <c r="I54" i="8" l="1"/>
  <c r="I55" i="8" l="1"/>
  <c r="I56" i="8" l="1"/>
  <c r="I57" i="8" l="1"/>
  <c r="I58" i="8" l="1"/>
  <c r="I59" i="8" l="1"/>
  <c r="I60" i="8" l="1"/>
  <c r="I61" i="8" l="1"/>
  <c r="I62" i="8" l="1"/>
  <c r="I63" i="8" l="1"/>
  <c r="I64" i="8" l="1"/>
  <c r="I65" i="8" l="1"/>
  <c r="I66" i="8" l="1"/>
  <c r="I67" i="8" l="1"/>
  <c r="I68" i="8" l="1"/>
  <c r="I69" i="8" l="1"/>
  <c r="I70" i="8" l="1"/>
  <c r="I71" i="8" l="1"/>
  <c r="I72" i="8" l="1"/>
  <c r="I73" i="8" l="1"/>
  <c r="I74" i="8" l="1"/>
  <c r="I75" i="8" l="1"/>
  <c r="I76" i="8" l="1"/>
  <c r="I77" i="8" l="1"/>
  <c r="I78" i="8" l="1"/>
  <c r="I79" i="8" l="1"/>
  <c r="I80" i="8" l="1"/>
  <c r="I81" i="8" l="1"/>
  <c r="I82" i="8" l="1"/>
  <c r="I83" i="8" l="1"/>
  <c r="I84" i="8" l="1"/>
  <c r="I85" i="8" l="1"/>
  <c r="I86" i="8" l="1"/>
  <c r="I87" i="8" l="1"/>
  <c r="I88" i="8" l="1"/>
  <c r="I89" i="8" l="1"/>
  <c r="I90" i="8" l="1"/>
  <c r="I91" i="8" l="1"/>
  <c r="I92" i="8" l="1"/>
  <c r="I93" i="8" l="1"/>
  <c r="I94" i="8" l="1"/>
  <c r="I95" i="8" l="1"/>
  <c r="I96" i="8" l="1"/>
  <c r="I97" i="8" l="1"/>
  <c r="I98" i="8" l="1"/>
  <c r="I99" i="8" l="1"/>
  <c r="I100" i="8" l="1"/>
  <c r="I101" i="8" l="1"/>
  <c r="I102" i="8" l="1"/>
  <c r="I103" i="8" l="1"/>
  <c r="I104" i="8" l="1"/>
  <c r="I105" i="8" l="1"/>
  <c r="I106" i="8" l="1"/>
  <c r="I107" i="8" l="1"/>
  <c r="I108" i="8" l="1"/>
  <c r="I109" i="8" l="1"/>
  <c r="I110" i="8" l="1"/>
  <c r="I111" i="8" l="1"/>
  <c r="I112" i="8" l="1"/>
  <c r="I113" i="8" l="1"/>
  <c r="I114" i="8" l="1"/>
  <c r="I115" i="8" l="1"/>
  <c r="I116" i="8" l="1"/>
  <c r="I18" i="8" l="1"/>
  <c r="H18" i="8" s="1"/>
  <c r="AI18" i="8" s="1"/>
  <c r="AJ18" i="8" l="1"/>
  <c r="J18" i="8"/>
  <c r="AF19" i="8" l="1"/>
  <c r="L18" i="8"/>
  <c r="M18" i="8" s="1"/>
  <c r="N18" i="8" l="1"/>
  <c r="AG19" i="8"/>
  <c r="I19" i="8"/>
  <c r="H19" i="8" l="1"/>
  <c r="J19" i="8" l="1"/>
  <c r="L19" i="8" s="1"/>
  <c r="M19" i="8" s="1"/>
  <c r="AI19" i="8"/>
  <c r="I20" i="8"/>
  <c r="AJ19" i="8" l="1"/>
  <c r="N19" i="8"/>
  <c r="H20" i="8"/>
  <c r="AF20" i="8" l="1"/>
  <c r="AG20" i="8" s="1"/>
  <c r="AI20" i="8" s="1"/>
  <c r="J20" i="8"/>
  <c r="L20" i="8" s="1"/>
  <c r="M20" i="8" s="1"/>
  <c r="I21" i="8"/>
  <c r="AJ20" i="8" l="1"/>
  <c r="H21" i="8"/>
  <c r="N20" i="8"/>
  <c r="AF21" i="8" l="1"/>
  <c r="AG21" i="8" s="1"/>
  <c r="AI21" i="8" s="1"/>
  <c r="J21" i="8"/>
  <c r="L21" i="8" s="1"/>
  <c r="M21" i="8" s="1"/>
  <c r="I22" i="8"/>
  <c r="AJ21" i="8" l="1"/>
  <c r="H22" i="8"/>
  <c r="N21" i="8"/>
  <c r="AF22" i="8" l="1"/>
  <c r="AG22" i="8" s="1"/>
  <c r="AI22" i="8" s="1"/>
  <c r="J22" i="8"/>
  <c r="L22" i="8" s="1"/>
  <c r="M22" i="8" s="1"/>
  <c r="I23" i="8"/>
  <c r="AJ22" i="8" l="1"/>
  <c r="N22" i="8"/>
  <c r="H23" i="8"/>
  <c r="AF23" i="8" l="1"/>
  <c r="AG23" i="8" s="1"/>
  <c r="AI23" i="8" s="1"/>
  <c r="J23" i="8"/>
  <c r="L23" i="8" s="1"/>
  <c r="M23" i="8" s="1"/>
  <c r="I24" i="8"/>
  <c r="AJ23" i="8" l="1"/>
  <c r="N23" i="8"/>
  <c r="H24" i="8"/>
  <c r="AF24" i="8" l="1"/>
  <c r="AG24" i="8" s="1"/>
  <c r="AI24" i="8" s="1"/>
  <c r="J24" i="8"/>
  <c r="L24" i="8" s="1"/>
  <c r="M24" i="8" s="1"/>
  <c r="I25" i="8"/>
  <c r="AJ24" i="8" l="1"/>
  <c r="H25" i="8"/>
  <c r="N24" i="8"/>
  <c r="AF25" i="8" l="1"/>
  <c r="AG25" i="8" s="1"/>
  <c r="AI25" i="8" s="1"/>
  <c r="J25" i="8"/>
  <c r="L25" i="8" s="1"/>
  <c r="M25" i="8" s="1"/>
  <c r="I26" i="8"/>
  <c r="AJ25" i="8" l="1"/>
  <c r="N25" i="8"/>
  <c r="H26" i="8"/>
  <c r="AF26" i="8" l="1"/>
  <c r="AG26" i="8" s="1"/>
  <c r="AI26" i="8" s="1"/>
  <c r="AJ26" i="8" s="1"/>
  <c r="J26" i="8"/>
  <c r="L26" i="8" s="1"/>
  <c r="M26" i="8" s="1"/>
  <c r="H27" i="8" l="1"/>
  <c r="J27" i="8" s="1"/>
  <c r="L27" i="8" s="1"/>
  <c r="M27" i="8" s="1"/>
  <c r="AF27" i="8"/>
  <c r="AG27" i="8" s="1"/>
  <c r="AI27" i="8" s="1"/>
  <c r="AJ27" i="8" s="1"/>
  <c r="N26" i="8"/>
  <c r="AF28" i="8" l="1"/>
  <c r="AG28" i="8" s="1"/>
  <c r="AI28" i="8" s="1"/>
  <c r="AJ28" i="8" s="1"/>
  <c r="H28" i="8"/>
  <c r="J28" i="8" s="1"/>
  <c r="L28" i="8" s="1"/>
  <c r="M28" i="8" s="1"/>
  <c r="N27" i="8"/>
  <c r="H29" i="8" l="1"/>
  <c r="J29" i="8" s="1"/>
  <c r="L29" i="8" s="1"/>
  <c r="M29" i="8" s="1"/>
  <c r="AF29" i="8"/>
  <c r="AG29" i="8" s="1"/>
  <c r="AI29" i="8" s="1"/>
  <c r="AJ29" i="8" s="1"/>
  <c r="N28" i="8"/>
  <c r="AF30" i="8" l="1"/>
  <c r="AG30" i="8" s="1"/>
  <c r="AI30" i="8" s="1"/>
  <c r="AJ30" i="8" s="1"/>
  <c r="H30" i="8"/>
  <c r="J30" i="8" s="1"/>
  <c r="L30" i="8" s="1"/>
  <c r="M30" i="8" s="1"/>
  <c r="N29" i="8"/>
  <c r="H31" i="8" l="1"/>
  <c r="J31" i="8" s="1"/>
  <c r="L31" i="8" s="1"/>
  <c r="M31" i="8" s="1"/>
  <c r="AF31" i="8"/>
  <c r="AG31" i="8" s="1"/>
  <c r="AI31" i="8" s="1"/>
  <c r="AJ31" i="8" s="1"/>
  <c r="N30" i="8"/>
  <c r="AF32" i="8" l="1"/>
  <c r="AG32" i="8" s="1"/>
  <c r="AI32" i="8" s="1"/>
  <c r="AJ32" i="8" s="1"/>
  <c r="H32" i="8"/>
  <c r="J32" i="8" s="1"/>
  <c r="L32" i="8" s="1"/>
  <c r="M32" i="8" s="1"/>
  <c r="N31" i="8"/>
  <c r="H33" i="8" l="1"/>
  <c r="J33" i="8" s="1"/>
  <c r="L33" i="8" s="1"/>
  <c r="M33" i="8" s="1"/>
  <c r="AF33" i="8"/>
  <c r="AG33" i="8" s="1"/>
  <c r="AI33" i="8" s="1"/>
  <c r="AJ33" i="8" s="1"/>
  <c r="N32" i="8"/>
  <c r="AF34" i="8" l="1"/>
  <c r="AG34" i="8" s="1"/>
  <c r="AI34" i="8" s="1"/>
  <c r="AJ34" i="8" s="1"/>
  <c r="H34" i="8"/>
  <c r="J34" i="8" s="1"/>
  <c r="L34" i="8" s="1"/>
  <c r="M34" i="8" s="1"/>
  <c r="N33" i="8"/>
  <c r="H35" i="8" l="1"/>
  <c r="J35" i="8" s="1"/>
  <c r="L35" i="8" s="1"/>
  <c r="M35" i="8" s="1"/>
  <c r="AF35" i="8"/>
  <c r="AG35" i="8" s="1"/>
  <c r="AI35" i="8" s="1"/>
  <c r="AJ35" i="8" s="1"/>
  <c r="N34" i="8"/>
  <c r="AF36" i="8" l="1"/>
  <c r="AG36" i="8" s="1"/>
  <c r="AI36" i="8" s="1"/>
  <c r="AJ36" i="8" s="1"/>
  <c r="H36" i="8"/>
  <c r="J36" i="8" s="1"/>
  <c r="L36" i="8" s="1"/>
  <c r="M36" i="8" s="1"/>
  <c r="N35" i="8"/>
  <c r="H37" i="8" l="1"/>
  <c r="J37" i="8" s="1"/>
  <c r="L37" i="8" s="1"/>
  <c r="M37" i="8" s="1"/>
  <c r="AF37" i="8"/>
  <c r="AG37" i="8" s="1"/>
  <c r="AI37" i="8" s="1"/>
  <c r="AJ37" i="8" s="1"/>
  <c r="N36" i="8"/>
  <c r="AF38" i="8" l="1"/>
  <c r="AG38" i="8" s="1"/>
  <c r="AI38" i="8" s="1"/>
  <c r="AJ38" i="8" s="1"/>
  <c r="H38" i="8"/>
  <c r="J38" i="8" s="1"/>
  <c r="L38" i="8" s="1"/>
  <c r="M38" i="8" s="1"/>
  <c r="N37" i="8"/>
  <c r="H39" i="8" l="1"/>
  <c r="J39" i="8" s="1"/>
  <c r="L39" i="8" s="1"/>
  <c r="M39" i="8" s="1"/>
  <c r="AF39" i="8"/>
  <c r="AG39" i="8" s="1"/>
  <c r="AI39" i="8" s="1"/>
  <c r="AJ39" i="8" s="1"/>
  <c r="N38" i="8"/>
  <c r="AF40" i="8" l="1"/>
  <c r="AG40" i="8" s="1"/>
  <c r="AI40" i="8" s="1"/>
  <c r="AJ40" i="8" s="1"/>
  <c r="H40" i="8"/>
  <c r="J40" i="8" s="1"/>
  <c r="L40" i="8" s="1"/>
  <c r="M40" i="8" s="1"/>
  <c r="N39" i="8"/>
  <c r="H41" i="8" l="1"/>
  <c r="J41" i="8" s="1"/>
  <c r="L41" i="8" s="1"/>
  <c r="M41" i="8" s="1"/>
  <c r="AF41" i="8"/>
  <c r="AG41" i="8" s="1"/>
  <c r="AI41" i="8" s="1"/>
  <c r="AJ41" i="8" s="1"/>
  <c r="N40" i="8"/>
  <c r="AF42" i="8" l="1"/>
  <c r="AG42" i="8" s="1"/>
  <c r="AI42" i="8" s="1"/>
  <c r="AJ42" i="8" s="1"/>
  <c r="H42" i="8"/>
  <c r="J42" i="8" s="1"/>
  <c r="L42" i="8" s="1"/>
  <c r="M42" i="8" s="1"/>
  <c r="N41" i="8"/>
  <c r="H43" i="8" l="1"/>
  <c r="J43" i="8" s="1"/>
  <c r="L43" i="8" s="1"/>
  <c r="M43" i="8" s="1"/>
  <c r="AF43" i="8"/>
  <c r="AG43" i="8" s="1"/>
  <c r="AI43" i="8" s="1"/>
  <c r="AJ43" i="8" s="1"/>
  <c r="N42" i="8"/>
  <c r="AF44" i="8" l="1"/>
  <c r="AG44" i="8" s="1"/>
  <c r="AI44" i="8" s="1"/>
  <c r="AJ44" i="8" s="1"/>
  <c r="H44" i="8"/>
  <c r="J44" i="8" s="1"/>
  <c r="L44" i="8" s="1"/>
  <c r="M44" i="8" s="1"/>
  <c r="N43" i="8"/>
  <c r="H45" i="8" l="1"/>
  <c r="J45" i="8" s="1"/>
  <c r="L45" i="8" s="1"/>
  <c r="M45" i="8" s="1"/>
  <c r="AF45" i="8"/>
  <c r="AG45" i="8" s="1"/>
  <c r="AI45" i="8" s="1"/>
  <c r="AJ45" i="8" s="1"/>
  <c r="N44" i="8"/>
  <c r="AF46" i="8" l="1"/>
  <c r="AG46" i="8" s="1"/>
  <c r="AI46" i="8" s="1"/>
  <c r="AJ46" i="8" s="1"/>
  <c r="H46" i="8"/>
  <c r="J46" i="8" s="1"/>
  <c r="L46" i="8" s="1"/>
  <c r="M46" i="8" s="1"/>
  <c r="N45" i="8"/>
  <c r="H47" i="8" l="1"/>
  <c r="J47" i="8" s="1"/>
  <c r="L47" i="8" s="1"/>
  <c r="M47" i="8" s="1"/>
  <c r="AF47" i="8"/>
  <c r="AG47" i="8" s="1"/>
  <c r="AI47" i="8" s="1"/>
  <c r="AJ47" i="8" s="1"/>
  <c r="N46" i="8"/>
  <c r="AF48" i="8" l="1"/>
  <c r="AG48" i="8" s="1"/>
  <c r="AI48" i="8" s="1"/>
  <c r="AJ48" i="8" s="1"/>
  <c r="H48" i="8"/>
  <c r="J48" i="8" s="1"/>
  <c r="L48" i="8" s="1"/>
  <c r="M48" i="8" s="1"/>
  <c r="N47" i="8"/>
  <c r="H49" i="8" l="1"/>
  <c r="J49" i="8" s="1"/>
  <c r="L49" i="8" s="1"/>
  <c r="M49" i="8" s="1"/>
  <c r="AF49" i="8"/>
  <c r="AG49" i="8" s="1"/>
  <c r="AI49" i="8" s="1"/>
  <c r="AJ49" i="8" s="1"/>
  <c r="N48" i="8"/>
  <c r="AF50" i="8" l="1"/>
  <c r="AG50" i="8" s="1"/>
  <c r="AI50" i="8" s="1"/>
  <c r="AJ50" i="8" s="1"/>
  <c r="H50" i="8"/>
  <c r="J50" i="8" s="1"/>
  <c r="L50" i="8" s="1"/>
  <c r="M50" i="8" s="1"/>
  <c r="N49" i="8"/>
  <c r="H51" i="8" l="1"/>
  <c r="J51" i="8" s="1"/>
  <c r="L51" i="8" s="1"/>
  <c r="M51" i="8" s="1"/>
  <c r="AF51" i="8"/>
  <c r="AG51" i="8" s="1"/>
  <c r="AI51" i="8" s="1"/>
  <c r="AJ51" i="8" s="1"/>
  <c r="N50" i="8"/>
  <c r="AF52" i="8" l="1"/>
  <c r="AG52" i="8" s="1"/>
  <c r="AI52" i="8" s="1"/>
  <c r="AJ52" i="8" s="1"/>
  <c r="H52" i="8"/>
  <c r="J52" i="8" s="1"/>
  <c r="L52" i="8" s="1"/>
  <c r="M52" i="8" s="1"/>
  <c r="N51" i="8"/>
  <c r="H53" i="8" l="1"/>
  <c r="J53" i="8" s="1"/>
  <c r="L53" i="8" s="1"/>
  <c r="M53" i="8" s="1"/>
  <c r="AF53" i="8"/>
  <c r="AG53" i="8" s="1"/>
  <c r="AI53" i="8" s="1"/>
  <c r="AJ53" i="8" s="1"/>
  <c r="N52" i="8"/>
  <c r="AF54" i="8" l="1"/>
  <c r="AG54" i="8" s="1"/>
  <c r="AI54" i="8" s="1"/>
  <c r="AJ54" i="8" s="1"/>
  <c r="H54" i="8"/>
  <c r="J54" i="8" s="1"/>
  <c r="L54" i="8" s="1"/>
  <c r="M54" i="8" s="1"/>
  <c r="N53" i="8"/>
  <c r="H55" i="8" l="1"/>
  <c r="J55" i="8" s="1"/>
  <c r="L55" i="8" s="1"/>
  <c r="M55" i="8" s="1"/>
  <c r="AF55" i="8"/>
  <c r="AG55" i="8" s="1"/>
  <c r="AI55" i="8" s="1"/>
  <c r="AJ55" i="8" s="1"/>
  <c r="N54" i="8"/>
  <c r="AF56" i="8" l="1"/>
  <c r="AG56" i="8" s="1"/>
  <c r="AI56" i="8" s="1"/>
  <c r="AJ56" i="8" s="1"/>
  <c r="H56" i="8"/>
  <c r="J56" i="8" s="1"/>
  <c r="L56" i="8" s="1"/>
  <c r="M56" i="8" s="1"/>
  <c r="N55" i="8"/>
  <c r="H57" i="8" l="1"/>
  <c r="J57" i="8" s="1"/>
  <c r="L57" i="8" s="1"/>
  <c r="M57" i="8" s="1"/>
  <c r="AF57" i="8"/>
  <c r="AG57" i="8" s="1"/>
  <c r="AI57" i="8" s="1"/>
  <c r="AJ57" i="8" s="1"/>
  <c r="N56" i="8"/>
  <c r="AF58" i="8" l="1"/>
  <c r="AG58" i="8" s="1"/>
  <c r="AI58" i="8" s="1"/>
  <c r="AJ58" i="8" s="1"/>
  <c r="H58" i="8"/>
  <c r="J58" i="8" s="1"/>
  <c r="L58" i="8" s="1"/>
  <c r="M58" i="8" s="1"/>
  <c r="N57" i="8"/>
  <c r="H59" i="8" l="1"/>
  <c r="J59" i="8" s="1"/>
  <c r="L59" i="8" s="1"/>
  <c r="M59" i="8" s="1"/>
  <c r="AF59" i="8"/>
  <c r="AG59" i="8" s="1"/>
  <c r="AI59" i="8" s="1"/>
  <c r="AJ59" i="8" s="1"/>
  <c r="N58" i="8"/>
  <c r="AF60" i="8" l="1"/>
  <c r="AG60" i="8" s="1"/>
  <c r="AI60" i="8" s="1"/>
  <c r="AJ60" i="8" s="1"/>
  <c r="H60" i="8"/>
  <c r="J60" i="8" s="1"/>
  <c r="L60" i="8" s="1"/>
  <c r="M60" i="8" s="1"/>
  <c r="N59" i="8"/>
  <c r="H61" i="8" l="1"/>
  <c r="J61" i="8" s="1"/>
  <c r="L61" i="8" s="1"/>
  <c r="M61" i="8" s="1"/>
  <c r="AF61" i="8"/>
  <c r="AG61" i="8" s="1"/>
  <c r="AI61" i="8" s="1"/>
  <c r="AJ61" i="8" s="1"/>
  <c r="N60" i="8"/>
  <c r="AF62" i="8" l="1"/>
  <c r="AG62" i="8" s="1"/>
  <c r="AI62" i="8" s="1"/>
  <c r="AJ62" i="8" s="1"/>
  <c r="H62" i="8"/>
  <c r="J62" i="8" s="1"/>
  <c r="L62" i="8" s="1"/>
  <c r="M62" i="8" s="1"/>
  <c r="N61" i="8"/>
  <c r="H63" i="8" l="1"/>
  <c r="J63" i="8" s="1"/>
  <c r="L63" i="8" s="1"/>
  <c r="M63" i="8" s="1"/>
  <c r="AF63" i="8"/>
  <c r="AG63" i="8" s="1"/>
  <c r="AI63" i="8" s="1"/>
  <c r="AJ63" i="8" s="1"/>
  <c r="N62" i="8"/>
  <c r="AF64" i="8" l="1"/>
  <c r="AG64" i="8" s="1"/>
  <c r="AI64" i="8" s="1"/>
  <c r="AJ64" i="8" s="1"/>
  <c r="H64" i="8"/>
  <c r="J64" i="8" s="1"/>
  <c r="L64" i="8" s="1"/>
  <c r="M64" i="8" s="1"/>
  <c r="N63" i="8"/>
  <c r="H65" i="8" l="1"/>
  <c r="J65" i="8" s="1"/>
  <c r="L65" i="8" s="1"/>
  <c r="M65" i="8" s="1"/>
  <c r="AF65" i="8"/>
  <c r="AG65" i="8" s="1"/>
  <c r="AI65" i="8" s="1"/>
  <c r="AJ65" i="8" s="1"/>
  <c r="N64" i="8"/>
  <c r="H66" i="8" l="1"/>
  <c r="J66" i="8" s="1"/>
  <c r="L66" i="8" s="1"/>
  <c r="M66" i="8" s="1"/>
  <c r="AF66" i="8"/>
  <c r="AG66" i="8" s="1"/>
  <c r="AI66" i="8" s="1"/>
  <c r="AJ66" i="8" s="1"/>
  <c r="N65" i="8"/>
  <c r="AF67" i="8" l="1"/>
  <c r="AG67" i="8" s="1"/>
  <c r="AI67" i="8" s="1"/>
  <c r="AJ67" i="8" s="1"/>
  <c r="H67" i="8"/>
  <c r="J67" i="8" s="1"/>
  <c r="L67" i="8" s="1"/>
  <c r="M67" i="8" s="1"/>
  <c r="N66" i="8"/>
  <c r="H68" i="8" l="1"/>
  <c r="J68" i="8" s="1"/>
  <c r="L68" i="8" s="1"/>
  <c r="M68" i="8" s="1"/>
  <c r="AF68" i="8"/>
  <c r="AG68" i="8" s="1"/>
  <c r="AI68" i="8" s="1"/>
  <c r="AJ68" i="8" s="1"/>
  <c r="N67" i="8"/>
  <c r="AF69" i="8" l="1"/>
  <c r="AG69" i="8" s="1"/>
  <c r="AI69" i="8" s="1"/>
  <c r="AJ69" i="8" s="1"/>
  <c r="H69" i="8"/>
  <c r="J69" i="8" s="1"/>
  <c r="L69" i="8" s="1"/>
  <c r="M69" i="8" s="1"/>
  <c r="N68" i="8"/>
  <c r="H70" i="8" l="1"/>
  <c r="J70" i="8" s="1"/>
  <c r="L70" i="8" s="1"/>
  <c r="M70" i="8" s="1"/>
  <c r="AF70" i="8"/>
  <c r="AG70" i="8" s="1"/>
  <c r="AI70" i="8" s="1"/>
  <c r="AJ70" i="8" s="1"/>
  <c r="N69" i="8"/>
  <c r="AF71" i="8" l="1"/>
  <c r="AG71" i="8" s="1"/>
  <c r="AI71" i="8" s="1"/>
  <c r="AJ71" i="8" s="1"/>
  <c r="H71" i="8"/>
  <c r="J71" i="8" s="1"/>
  <c r="L71" i="8" s="1"/>
  <c r="M71" i="8" s="1"/>
  <c r="N70" i="8"/>
  <c r="H72" i="8" l="1"/>
  <c r="J72" i="8" s="1"/>
  <c r="L72" i="8" s="1"/>
  <c r="M72" i="8" s="1"/>
  <c r="AF72" i="8"/>
  <c r="AG72" i="8" s="1"/>
  <c r="AI72" i="8" s="1"/>
  <c r="AJ72" i="8" s="1"/>
  <c r="N71" i="8"/>
  <c r="AF73" i="8" l="1"/>
  <c r="AG73" i="8" s="1"/>
  <c r="AI73" i="8" s="1"/>
  <c r="AJ73" i="8" s="1"/>
  <c r="H73" i="8"/>
  <c r="J73" i="8" s="1"/>
  <c r="L73" i="8" s="1"/>
  <c r="M73" i="8" s="1"/>
  <c r="N72" i="8"/>
  <c r="H74" i="8" l="1"/>
  <c r="J74" i="8" s="1"/>
  <c r="L74" i="8" s="1"/>
  <c r="M74" i="8" s="1"/>
  <c r="AF74" i="8"/>
  <c r="AG74" i="8" s="1"/>
  <c r="AI74" i="8" s="1"/>
  <c r="AJ74" i="8" s="1"/>
  <c r="N73" i="8"/>
  <c r="AF75" i="8" l="1"/>
  <c r="AG75" i="8" s="1"/>
  <c r="AI75" i="8" s="1"/>
  <c r="AJ75" i="8" s="1"/>
  <c r="H75" i="8"/>
  <c r="J75" i="8" s="1"/>
  <c r="L75" i="8" s="1"/>
  <c r="M75" i="8" s="1"/>
  <c r="N74" i="8"/>
  <c r="H76" i="8" l="1"/>
  <c r="J76" i="8" s="1"/>
  <c r="L76" i="8" s="1"/>
  <c r="M76" i="8" s="1"/>
  <c r="AF76" i="8"/>
  <c r="AG76" i="8" s="1"/>
  <c r="AI76" i="8" s="1"/>
  <c r="AJ76" i="8" s="1"/>
  <c r="N75" i="8"/>
  <c r="AF77" i="8" l="1"/>
  <c r="AG77" i="8" s="1"/>
  <c r="AI77" i="8" s="1"/>
  <c r="AJ77" i="8" s="1"/>
  <c r="H77" i="8"/>
  <c r="J77" i="8" s="1"/>
  <c r="L77" i="8" s="1"/>
  <c r="M77" i="8" s="1"/>
  <c r="N76" i="8"/>
  <c r="H78" i="8" l="1"/>
  <c r="J78" i="8" s="1"/>
  <c r="L78" i="8" s="1"/>
  <c r="M78" i="8" s="1"/>
  <c r="AF78" i="8"/>
  <c r="AG78" i="8" s="1"/>
  <c r="AI78" i="8" s="1"/>
  <c r="AJ78" i="8" s="1"/>
  <c r="N77" i="8"/>
  <c r="AF79" i="8" l="1"/>
  <c r="AG79" i="8" s="1"/>
  <c r="AI79" i="8" s="1"/>
  <c r="AJ79" i="8" s="1"/>
  <c r="H79" i="8"/>
  <c r="J79" i="8" s="1"/>
  <c r="L79" i="8" s="1"/>
  <c r="M79" i="8" s="1"/>
  <c r="N78" i="8"/>
  <c r="H80" i="8" l="1"/>
  <c r="J80" i="8" s="1"/>
  <c r="L80" i="8" s="1"/>
  <c r="M80" i="8" s="1"/>
  <c r="AF80" i="8"/>
  <c r="AG80" i="8" s="1"/>
  <c r="AI80" i="8" s="1"/>
  <c r="AJ80" i="8" s="1"/>
  <c r="N79" i="8"/>
  <c r="AF81" i="8" l="1"/>
  <c r="AG81" i="8" s="1"/>
  <c r="AI81" i="8" s="1"/>
  <c r="AJ81" i="8" s="1"/>
  <c r="H81" i="8"/>
  <c r="J81" i="8" s="1"/>
  <c r="L81" i="8" s="1"/>
  <c r="M81" i="8" s="1"/>
  <c r="N80" i="8"/>
  <c r="H82" i="8" l="1"/>
  <c r="J82" i="8" s="1"/>
  <c r="L82" i="8" s="1"/>
  <c r="M82" i="8" s="1"/>
  <c r="AF82" i="8"/>
  <c r="AG82" i="8" s="1"/>
  <c r="AI82" i="8" s="1"/>
  <c r="AJ82" i="8" s="1"/>
  <c r="N81" i="8"/>
  <c r="AF83" i="8" l="1"/>
  <c r="AG83" i="8" s="1"/>
  <c r="AI83" i="8" s="1"/>
  <c r="AJ83" i="8" s="1"/>
  <c r="H83" i="8"/>
  <c r="J83" i="8" s="1"/>
  <c r="L83" i="8" s="1"/>
  <c r="M83" i="8" s="1"/>
  <c r="N82" i="8"/>
  <c r="H84" i="8" l="1"/>
  <c r="J84" i="8" s="1"/>
  <c r="L84" i="8" s="1"/>
  <c r="M84" i="8" s="1"/>
  <c r="AF84" i="8"/>
  <c r="AG84" i="8" s="1"/>
  <c r="AI84" i="8" s="1"/>
  <c r="AJ84" i="8" s="1"/>
  <c r="N83" i="8"/>
  <c r="AF85" i="8" l="1"/>
  <c r="AG85" i="8" s="1"/>
  <c r="AI85" i="8" s="1"/>
  <c r="AJ85" i="8" s="1"/>
  <c r="H85" i="8"/>
  <c r="J85" i="8" s="1"/>
  <c r="L85" i="8" s="1"/>
  <c r="M85" i="8" s="1"/>
  <c r="N84" i="8"/>
  <c r="H86" i="8" l="1"/>
  <c r="J86" i="8" s="1"/>
  <c r="L86" i="8" s="1"/>
  <c r="M86" i="8" s="1"/>
  <c r="AF86" i="8"/>
  <c r="AG86" i="8" s="1"/>
  <c r="AI86" i="8" s="1"/>
  <c r="AJ86" i="8" s="1"/>
  <c r="N85" i="8"/>
  <c r="AF87" i="8" l="1"/>
  <c r="AG87" i="8" s="1"/>
  <c r="AI87" i="8" s="1"/>
  <c r="AJ87" i="8" s="1"/>
  <c r="H87" i="8"/>
  <c r="J87" i="8" s="1"/>
  <c r="L87" i="8" s="1"/>
  <c r="M87" i="8" s="1"/>
  <c r="N86" i="8"/>
  <c r="H88" i="8" l="1"/>
  <c r="J88" i="8" s="1"/>
  <c r="L88" i="8" s="1"/>
  <c r="M88" i="8" s="1"/>
  <c r="AF88" i="8"/>
  <c r="AG88" i="8" s="1"/>
  <c r="AI88" i="8" s="1"/>
  <c r="AJ88" i="8" s="1"/>
  <c r="N87" i="8"/>
  <c r="AF89" i="8" l="1"/>
  <c r="AG89" i="8" s="1"/>
  <c r="AI89" i="8" s="1"/>
  <c r="AJ89" i="8" s="1"/>
  <c r="H89" i="8"/>
  <c r="J89" i="8" s="1"/>
  <c r="L89" i="8" s="1"/>
  <c r="M89" i="8" s="1"/>
  <c r="N88" i="8"/>
  <c r="H90" i="8" l="1"/>
  <c r="J90" i="8" s="1"/>
  <c r="L90" i="8" s="1"/>
  <c r="M90" i="8" s="1"/>
  <c r="AF90" i="8"/>
  <c r="AG90" i="8" s="1"/>
  <c r="AI90" i="8" s="1"/>
  <c r="AJ90" i="8" s="1"/>
  <c r="N89" i="8"/>
  <c r="AF91" i="8" l="1"/>
  <c r="AG91" i="8" s="1"/>
  <c r="AI91" i="8" s="1"/>
  <c r="AJ91" i="8" s="1"/>
  <c r="H91" i="8"/>
  <c r="J91" i="8" s="1"/>
  <c r="L91" i="8" s="1"/>
  <c r="M91" i="8" s="1"/>
  <c r="N90" i="8"/>
  <c r="H92" i="8" l="1"/>
  <c r="J92" i="8" s="1"/>
  <c r="L92" i="8" s="1"/>
  <c r="M92" i="8" s="1"/>
  <c r="AF92" i="8"/>
  <c r="AG92" i="8" s="1"/>
  <c r="AI92" i="8" s="1"/>
  <c r="AJ92" i="8" s="1"/>
  <c r="N91" i="8"/>
  <c r="AF93" i="8" l="1"/>
  <c r="AG93" i="8" s="1"/>
  <c r="AI93" i="8" s="1"/>
  <c r="AJ93" i="8" s="1"/>
  <c r="H93" i="8"/>
  <c r="J93" i="8" s="1"/>
  <c r="L93" i="8" s="1"/>
  <c r="M93" i="8" s="1"/>
  <c r="N92" i="8"/>
  <c r="H94" i="8" l="1"/>
  <c r="J94" i="8" s="1"/>
  <c r="L94" i="8" s="1"/>
  <c r="M94" i="8" s="1"/>
  <c r="AF94" i="8"/>
  <c r="AG94" i="8" s="1"/>
  <c r="AI94" i="8" s="1"/>
  <c r="AJ94" i="8" s="1"/>
  <c r="N93" i="8"/>
  <c r="AF95" i="8" l="1"/>
  <c r="AG95" i="8" s="1"/>
  <c r="AI95" i="8" s="1"/>
  <c r="AJ95" i="8" s="1"/>
  <c r="H95" i="8"/>
  <c r="J95" i="8" s="1"/>
  <c r="L95" i="8" s="1"/>
  <c r="M95" i="8" s="1"/>
  <c r="N94" i="8"/>
  <c r="H96" i="8" l="1"/>
  <c r="J96" i="8" s="1"/>
  <c r="L96" i="8" s="1"/>
  <c r="M96" i="8" s="1"/>
  <c r="AF96" i="8"/>
  <c r="AG96" i="8" s="1"/>
  <c r="AI96" i="8" s="1"/>
  <c r="AJ96" i="8" s="1"/>
  <c r="N95" i="8"/>
  <c r="AF97" i="8" l="1"/>
  <c r="AG97" i="8" s="1"/>
  <c r="AI97" i="8" s="1"/>
  <c r="AJ97" i="8" s="1"/>
  <c r="H97" i="8"/>
  <c r="J97" i="8" s="1"/>
  <c r="L97" i="8" s="1"/>
  <c r="M97" i="8" s="1"/>
  <c r="N96" i="8"/>
  <c r="H98" i="8" l="1"/>
  <c r="J98" i="8" s="1"/>
  <c r="L98" i="8" s="1"/>
  <c r="M98" i="8" s="1"/>
  <c r="AF98" i="8"/>
  <c r="AG98" i="8" s="1"/>
  <c r="AI98" i="8" s="1"/>
  <c r="AJ98" i="8" s="1"/>
  <c r="N97" i="8"/>
  <c r="AF99" i="8" l="1"/>
  <c r="AG99" i="8" s="1"/>
  <c r="AI99" i="8" s="1"/>
  <c r="AJ99" i="8" s="1"/>
  <c r="H99" i="8"/>
  <c r="J99" i="8" s="1"/>
  <c r="L99" i="8" s="1"/>
  <c r="M99" i="8" s="1"/>
  <c r="N98" i="8"/>
  <c r="H100" i="8" l="1"/>
  <c r="J100" i="8" s="1"/>
  <c r="L100" i="8" s="1"/>
  <c r="M100" i="8" s="1"/>
  <c r="AF100" i="8"/>
  <c r="AG100" i="8" s="1"/>
  <c r="AI100" i="8" s="1"/>
  <c r="AJ100" i="8" s="1"/>
  <c r="N99" i="8"/>
  <c r="AF101" i="8" l="1"/>
  <c r="AG101" i="8" s="1"/>
  <c r="AI101" i="8" s="1"/>
  <c r="AJ101" i="8" s="1"/>
  <c r="H101" i="8"/>
  <c r="J101" i="8" s="1"/>
  <c r="L101" i="8" s="1"/>
  <c r="M101" i="8" s="1"/>
  <c r="N100" i="8"/>
  <c r="H102" i="8" l="1"/>
  <c r="J102" i="8" s="1"/>
  <c r="L102" i="8" s="1"/>
  <c r="M102" i="8" s="1"/>
  <c r="AF102" i="8"/>
  <c r="AG102" i="8" s="1"/>
  <c r="AI102" i="8" s="1"/>
  <c r="AJ102" i="8" s="1"/>
  <c r="N101" i="8"/>
  <c r="AF103" i="8" l="1"/>
  <c r="AG103" i="8" s="1"/>
  <c r="AI103" i="8" s="1"/>
  <c r="AJ103" i="8" s="1"/>
  <c r="H103" i="8"/>
  <c r="J103" i="8" s="1"/>
  <c r="L103" i="8" s="1"/>
  <c r="M103" i="8" s="1"/>
  <c r="N102" i="8"/>
  <c r="H104" i="8" l="1"/>
  <c r="J104" i="8" s="1"/>
  <c r="L104" i="8" s="1"/>
  <c r="M104" i="8" s="1"/>
  <c r="AF104" i="8"/>
  <c r="AG104" i="8" s="1"/>
  <c r="AI104" i="8" s="1"/>
  <c r="AJ104" i="8" s="1"/>
  <c r="N103" i="8"/>
  <c r="AF105" i="8" l="1"/>
  <c r="AG105" i="8" s="1"/>
  <c r="AI105" i="8" s="1"/>
  <c r="AJ105" i="8" s="1"/>
  <c r="H105" i="8"/>
  <c r="J105" i="8" s="1"/>
  <c r="L105" i="8" s="1"/>
  <c r="M105" i="8" s="1"/>
  <c r="N104" i="8"/>
  <c r="H106" i="8" l="1"/>
  <c r="J106" i="8" s="1"/>
  <c r="L106" i="8" s="1"/>
  <c r="M106" i="8" s="1"/>
  <c r="AF106" i="8"/>
  <c r="AG106" i="8" s="1"/>
  <c r="AI106" i="8" s="1"/>
  <c r="AJ106" i="8" s="1"/>
  <c r="N105" i="8"/>
  <c r="AF107" i="8" l="1"/>
  <c r="AG107" i="8" s="1"/>
  <c r="AI107" i="8" s="1"/>
  <c r="AJ107" i="8" s="1"/>
  <c r="H107" i="8"/>
  <c r="J107" i="8" s="1"/>
  <c r="L107" i="8" s="1"/>
  <c r="M107" i="8" s="1"/>
  <c r="H108" i="8" s="1"/>
  <c r="N106" i="8"/>
  <c r="AF108" i="8" l="1"/>
  <c r="AG108" i="8" s="1"/>
  <c r="AI108" i="8" s="1"/>
  <c r="AJ108" i="8" s="1"/>
  <c r="N107" i="8"/>
  <c r="J108" i="8"/>
  <c r="AF109" i="8" l="1"/>
  <c r="AG109" i="8" s="1"/>
  <c r="AI109" i="8" s="1"/>
  <c r="AJ109" i="8" s="1"/>
  <c r="L108" i="8"/>
  <c r="M108" i="8" s="1"/>
  <c r="H109" i="8" s="1"/>
  <c r="AF110" i="8" l="1"/>
  <c r="AG110" i="8" s="1"/>
  <c r="AI110" i="8" s="1"/>
  <c r="AJ110" i="8" s="1"/>
  <c r="J109" i="8"/>
  <c r="L109" i="8" s="1"/>
  <c r="M109" i="8" s="1"/>
  <c r="N108" i="8"/>
  <c r="AF111" i="8" l="1"/>
  <c r="AG111" i="8" s="1"/>
  <c r="AI111" i="8" s="1"/>
  <c r="AJ111" i="8" s="1"/>
  <c r="H110" i="8"/>
  <c r="J110" i="8" s="1"/>
  <c r="L110" i="8" s="1"/>
  <c r="M110" i="8" s="1"/>
  <c r="N109" i="8"/>
  <c r="H111" i="8" l="1"/>
  <c r="J111" i="8" s="1"/>
  <c r="L111" i="8" s="1"/>
  <c r="M111" i="8" s="1"/>
  <c r="H112" i="8" s="1"/>
  <c r="AF112" i="8"/>
  <c r="AG112" i="8" s="1"/>
  <c r="AI112" i="8" s="1"/>
  <c r="AJ112" i="8" s="1"/>
  <c r="N110" i="8"/>
  <c r="AF113" i="8" l="1"/>
  <c r="AG113" i="8" s="1"/>
  <c r="AI113" i="8" s="1"/>
  <c r="AJ113" i="8" s="1"/>
  <c r="J112" i="8"/>
  <c r="L112" i="8" s="1"/>
  <c r="M112" i="8" s="1"/>
  <c r="H113" i="8" s="1"/>
  <c r="N111" i="8"/>
  <c r="AF114" i="8" l="1"/>
  <c r="AG114" i="8" s="1"/>
  <c r="AI114" i="8" s="1"/>
  <c r="AJ114" i="8" s="1"/>
  <c r="J113" i="8"/>
  <c r="L113" i="8" s="1"/>
  <c r="M113" i="8" s="1"/>
  <c r="H114" i="8" s="1"/>
  <c r="N112" i="8"/>
  <c r="AF115" i="8" l="1"/>
  <c r="AG115" i="8" s="1"/>
  <c r="AI115" i="8" s="1"/>
  <c r="AJ115" i="8" s="1"/>
  <c r="J114" i="8"/>
  <c r="L114" i="8" s="1"/>
  <c r="M114" i="8" s="1"/>
  <c r="N113" i="8"/>
  <c r="AF116" i="8" l="1"/>
  <c r="AG116" i="8" s="1"/>
  <c r="AI116" i="8" s="1"/>
  <c r="AJ116" i="8" s="1"/>
  <c r="H115" i="8"/>
  <c r="J115" i="8" s="1"/>
  <c r="L115" i="8" s="1"/>
  <c r="M115" i="8" s="1"/>
  <c r="H116" i="8" s="1"/>
  <c r="N114" i="8"/>
  <c r="I9" i="8" l="1"/>
  <c r="I10" i="8" s="1"/>
  <c r="I11" i="8" s="1"/>
  <c r="N115" i="8"/>
  <c r="J116" i="8"/>
  <c r="L116" i="8" l="1"/>
  <c r="M116" i="8" s="1"/>
  <c r="P18" i="8" s="1"/>
  <c r="P17" i="8" l="1"/>
  <c r="AE8" i="14"/>
  <c r="G9" i="8"/>
  <c r="G10" i="8" s="1"/>
  <c r="AE9" i="14"/>
  <c r="N116" i="8"/>
  <c r="O17" i="14" l="1"/>
  <c r="G11" i="8"/>
  <c r="O18" i="14" s="1"/>
  <c r="S15" i="12"/>
  <c r="Z15" i="12"/>
  <c r="R9" i="12" l="1"/>
  <c r="G10" i="12"/>
  <c r="R10" i="12" s="1"/>
  <c r="AK16" i="12"/>
  <c r="R16" i="12" s="1"/>
  <c r="AK15" i="12" l="1"/>
  <c r="R15" i="12" s="1"/>
  <c r="AM16" i="12"/>
  <c r="U16" i="12" s="1"/>
  <c r="AM15" i="12"/>
  <c r="U15" i="12" s="1"/>
  <c r="X15" i="12"/>
  <c r="X16" i="12"/>
  <c r="AP13" i="5"/>
  <c r="AV13" i="5"/>
  <c r="AN13" i="5"/>
  <c r="AN73" i="5" s="1"/>
  <c r="AR13" i="5" l="1"/>
  <c r="AV73" i="5"/>
  <c r="AP73" i="5"/>
  <c r="G8" i="5" s="1"/>
  <c r="G5" i="5" l="1"/>
  <c r="G4" i="5"/>
  <c r="G7" i="5"/>
  <c r="AN7" i="5" s="1"/>
  <c r="G6" i="5"/>
  <c r="AQ6" i="5" s="1"/>
  <c r="AR6" i="5" s="1"/>
  <c r="AS8" i="5"/>
  <c r="AO8" i="5"/>
  <c r="AN8" i="5"/>
  <c r="AM8" i="5"/>
  <c r="H8" i="5"/>
  <c r="AP8" i="5"/>
  <c r="AW8" i="5"/>
  <c r="I8" i="5"/>
  <c r="AQ8" i="5"/>
  <c r="AV8" i="5"/>
  <c r="AP5" i="5"/>
  <c r="I5" i="5"/>
  <c r="AV5" i="5"/>
  <c r="AN5" i="5"/>
  <c r="AS5" i="5"/>
  <c r="AW5" i="5"/>
  <c r="AO5" i="5"/>
  <c r="AM5" i="5"/>
  <c r="AQ5" i="5"/>
  <c r="H5" i="5"/>
  <c r="AP4" i="5"/>
  <c r="AQ4" i="5"/>
  <c r="AN4" i="5"/>
  <c r="AO4" i="5"/>
  <c r="AS4" i="5"/>
  <c r="AM4" i="5"/>
  <c r="H4" i="5"/>
  <c r="AW4" i="5"/>
  <c r="I4" i="5"/>
  <c r="AV4" i="5"/>
  <c r="AW7" i="5" l="1"/>
  <c r="AP7" i="5"/>
  <c r="AQ7" i="5"/>
  <c r="AR7" i="5" s="1"/>
  <c r="H7" i="5"/>
  <c r="AO7" i="5"/>
  <c r="AM7" i="5"/>
  <c r="I7" i="5"/>
  <c r="AV7" i="5"/>
  <c r="AS7" i="5"/>
  <c r="AW6" i="5"/>
  <c r="AM6" i="5"/>
  <c r="AP6" i="5"/>
  <c r="I6" i="5"/>
  <c r="AN6" i="5"/>
  <c r="AS6" i="5"/>
  <c r="AT6" i="5" s="1"/>
  <c r="AO6" i="5"/>
  <c r="AV6" i="5"/>
  <c r="H6" i="5"/>
  <c r="AT8" i="5"/>
  <c r="AR8" i="5"/>
  <c r="AT7" i="5"/>
  <c r="AR5" i="5"/>
  <c r="AR4" i="5"/>
  <c r="AT4" i="5"/>
  <c r="AT5"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0" background="1">
    <webPr sourceData="1" parsePre="1" consecutive="1" url="http://phisix-api3.appspot.com/stocks.xml"/>
  </connection>
</connections>
</file>

<file path=xl/sharedStrings.xml><?xml version="1.0" encoding="utf-8"?>
<sst xmlns="http://schemas.openxmlformats.org/spreadsheetml/2006/main" count="1403" uniqueCount="768">
  <si>
    <t>symbol</t>
  </si>
  <si>
    <t>ABA</t>
  </si>
  <si>
    <t>ABG</t>
  </si>
  <si>
    <t>AC</t>
  </si>
  <si>
    <t>AEV</t>
  </si>
  <si>
    <t>AGI</t>
  </si>
  <si>
    <t>ALI</t>
  </si>
  <si>
    <t>ANI</t>
  </si>
  <si>
    <t>AP</t>
  </si>
  <si>
    <t>APX</t>
  </si>
  <si>
    <t>ATN</t>
  </si>
  <si>
    <t>BDO</t>
  </si>
  <si>
    <t>BLOOM</t>
  </si>
  <si>
    <t>BPI</t>
  </si>
  <si>
    <t>BRN</t>
  </si>
  <si>
    <t>CEB</t>
  </si>
  <si>
    <t>CHIB</t>
  </si>
  <si>
    <t>CHP</t>
  </si>
  <si>
    <t>COSCO</t>
  </si>
  <si>
    <t>CPG</t>
  </si>
  <si>
    <t>DD</t>
  </si>
  <si>
    <t>DMC</t>
  </si>
  <si>
    <t>DNL</t>
  </si>
  <si>
    <t>EDC</t>
  </si>
  <si>
    <t>EW</t>
  </si>
  <si>
    <t>FLI</t>
  </si>
  <si>
    <t>FMETF</t>
  </si>
  <si>
    <t>GERI</t>
  </si>
  <si>
    <t>GLO</t>
  </si>
  <si>
    <t>GMA7</t>
  </si>
  <si>
    <t>GTCAP</t>
  </si>
  <si>
    <t>ICT</t>
  </si>
  <si>
    <t>IDC</t>
  </si>
  <si>
    <t>IMI</t>
  </si>
  <si>
    <t>ION</t>
  </si>
  <si>
    <t>JFC</t>
  </si>
  <si>
    <t>JGS</t>
  </si>
  <si>
    <t>LIHC</t>
  </si>
  <si>
    <t>LR</t>
  </si>
  <si>
    <t>LRW</t>
  </si>
  <si>
    <t>LTG</t>
  </si>
  <si>
    <t>MBT</t>
  </si>
  <si>
    <t>MEG</t>
  </si>
  <si>
    <t>MER</t>
  </si>
  <si>
    <t>MPI</t>
  </si>
  <si>
    <t>MRC</t>
  </si>
  <si>
    <t>MWIDE</t>
  </si>
  <si>
    <t>NOW</t>
  </si>
  <si>
    <t>PCOR</t>
  </si>
  <si>
    <t>PGOLD</t>
  </si>
  <si>
    <t>PLC</t>
  </si>
  <si>
    <t>PNX</t>
  </si>
  <si>
    <t>PSE</t>
  </si>
  <si>
    <t>PXP</t>
  </si>
  <si>
    <t>RLC</t>
  </si>
  <si>
    <t>RWM</t>
  </si>
  <si>
    <t>SBS</t>
  </si>
  <si>
    <t>SCC</t>
  </si>
  <si>
    <t>SECB</t>
  </si>
  <si>
    <t>SM</t>
  </si>
  <si>
    <t>SMC</t>
  </si>
  <si>
    <t>SMPH</t>
  </si>
  <si>
    <t>SSI</t>
  </si>
  <si>
    <t>TECH</t>
  </si>
  <si>
    <t>TEL</t>
  </si>
  <si>
    <t>URC</t>
  </si>
  <si>
    <t>VITA</t>
  </si>
  <si>
    <t>VLL</t>
  </si>
  <si>
    <t>VUL</t>
  </si>
  <si>
    <t>WEB</t>
  </si>
  <si>
    <t>WPI</t>
  </si>
  <si>
    <t>ABACORE CAPITAL</t>
  </si>
  <si>
    <t>Asiabest Gorup</t>
  </si>
  <si>
    <t>Ayala Corp</t>
  </si>
  <si>
    <t>Aboitiz</t>
  </si>
  <si>
    <t>Alliance Global</t>
  </si>
  <si>
    <t>Ayala Land</t>
  </si>
  <si>
    <t>AgriNurture</t>
  </si>
  <si>
    <t>Aboitiz Power</t>
  </si>
  <si>
    <t>Apex Mining A</t>
  </si>
  <si>
    <t>ATN Holdings A</t>
  </si>
  <si>
    <t>Banco de Oro</t>
  </si>
  <si>
    <t>Bloomberry</t>
  </si>
  <si>
    <t>A. Brown</t>
  </si>
  <si>
    <t>5J</t>
  </si>
  <si>
    <t>Chinabank</t>
  </si>
  <si>
    <t>Cemex Hldg</t>
  </si>
  <si>
    <t>COSCO CAPITAL</t>
  </si>
  <si>
    <t>DOUBLEDRAGON</t>
  </si>
  <si>
    <t>DMCI Holdings</t>
  </si>
  <si>
    <t>DNL INDUS</t>
  </si>
  <si>
    <t>Energy Devt.</t>
  </si>
  <si>
    <t>Filinvest Land</t>
  </si>
  <si>
    <t>FIRST METRO ETF</t>
  </si>
  <si>
    <t>Global-Estate</t>
  </si>
  <si>
    <t>Globe Telecom</t>
  </si>
  <si>
    <t>GMA Network</t>
  </si>
  <si>
    <t>GT Capital</t>
  </si>
  <si>
    <t>Intl Container</t>
  </si>
  <si>
    <t>Italpinas</t>
  </si>
  <si>
    <t>Integ. Micro</t>
  </si>
  <si>
    <t>Ionics</t>
  </si>
  <si>
    <t>Jollibee</t>
  </si>
  <si>
    <t>JG Summit</t>
  </si>
  <si>
    <t>Lodestar</t>
  </si>
  <si>
    <t>Leisure</t>
  </si>
  <si>
    <t>LR WARRANT</t>
  </si>
  <si>
    <t>LT GROUP</t>
  </si>
  <si>
    <t>Metrobank</t>
  </si>
  <si>
    <t>Megaworld</t>
  </si>
  <si>
    <t>Meralco A</t>
  </si>
  <si>
    <t>Metro Pac Inv</t>
  </si>
  <si>
    <t>MRC Allied</t>
  </si>
  <si>
    <t>Megawide</t>
  </si>
  <si>
    <t>NOW CORP</t>
  </si>
  <si>
    <t>Petron</t>
  </si>
  <si>
    <t>Purefoods</t>
  </si>
  <si>
    <t>PUREGOLD</t>
  </si>
  <si>
    <t>PREMIUM LEISURE</t>
  </si>
  <si>
    <t>PHX PETROLEUM</t>
  </si>
  <si>
    <t>PXP ENERGY</t>
  </si>
  <si>
    <t>Robinsons Land</t>
  </si>
  <si>
    <t>TRAVELLERS</t>
  </si>
  <si>
    <t>SBS Phil Corp</t>
  </si>
  <si>
    <t>Semirara Mining</t>
  </si>
  <si>
    <t>Security Bank</t>
  </si>
  <si>
    <t>SM Investments</t>
  </si>
  <si>
    <t>San Miguel A</t>
  </si>
  <si>
    <t>SM Prime Hldg.</t>
  </si>
  <si>
    <t>SSI GROUP</t>
  </si>
  <si>
    <t>CHIPS</t>
  </si>
  <si>
    <t>PLDT</t>
  </si>
  <si>
    <t>Univ Robina</t>
  </si>
  <si>
    <t>Vitarich</t>
  </si>
  <si>
    <t>Vista Land</t>
  </si>
  <si>
    <t>Vulcan Ind`l</t>
  </si>
  <si>
    <t>PhilWeb</t>
  </si>
  <si>
    <t>Waterfront</t>
  </si>
  <si>
    <t>PHP</t>
  </si>
  <si>
    <t>Date</t>
  </si>
  <si>
    <t>Name</t>
  </si>
  <si>
    <t>Currency</t>
  </si>
  <si>
    <t>Closing</t>
  </si>
  <si>
    <t>% change</t>
  </si>
  <si>
    <t>Volume</t>
  </si>
  <si>
    <t>Value</t>
  </si>
  <si>
    <t>Exact Value</t>
  </si>
  <si>
    <t>Support</t>
  </si>
  <si>
    <t>Board Lot</t>
  </si>
  <si>
    <t>Cutloss</t>
  </si>
  <si>
    <t>Maximum Shares</t>
  </si>
  <si>
    <t>Stop</t>
  </si>
  <si>
    <t>Exact Shares</t>
  </si>
  <si>
    <t>Risk Calc</t>
  </si>
  <si>
    <t>shares</t>
  </si>
  <si>
    <t>Fee1</t>
  </si>
  <si>
    <t>Fee2</t>
  </si>
  <si>
    <t>Fee3</t>
  </si>
  <si>
    <t>Net Amount</t>
  </si>
  <si>
    <t>AEP</t>
  </si>
  <si>
    <t>amount</t>
  </si>
  <si>
    <t>Sales</t>
  </si>
  <si>
    <t>Risk Per Trade</t>
  </si>
  <si>
    <t>ECP</t>
  </si>
  <si>
    <t>Position Size option:</t>
  </si>
  <si>
    <t>Maximum Exact Shares</t>
  </si>
  <si>
    <t>Maximum Lot Shares</t>
  </si>
  <si>
    <t>Amount</t>
  </si>
  <si>
    <t>STR</t>
  </si>
  <si>
    <t>WLCON</t>
  </si>
  <si>
    <t>Trade</t>
  </si>
  <si>
    <t>Fees</t>
  </si>
  <si>
    <t>From</t>
  </si>
  <si>
    <t>Multiply by</t>
  </si>
  <si>
    <t>Minimum</t>
  </si>
  <si>
    <t>Maximum</t>
  </si>
  <si>
    <t>To</t>
  </si>
  <si>
    <t>Commission</t>
  </si>
  <si>
    <t>Total Shares</t>
  </si>
  <si>
    <t>VAT</t>
  </si>
  <si>
    <t>Tax</t>
  </si>
  <si>
    <t>Sales Tax</t>
  </si>
  <si>
    <t>UP</t>
  </si>
  <si>
    <t>Account Name:</t>
  </si>
  <si>
    <t>RRR:</t>
  </si>
  <si>
    <t>Portfolio Size:</t>
  </si>
  <si>
    <t>#Win Trades:</t>
  </si>
  <si>
    <t>#Loss Trades:</t>
  </si>
  <si>
    <t>Position Size Per Trade:</t>
  </si>
  <si>
    <t>Win Rate%:</t>
  </si>
  <si>
    <t>Average Win%:</t>
  </si>
  <si>
    <t>Average Loss%:</t>
  </si>
  <si>
    <t>%Gain/Loss</t>
  </si>
  <si>
    <t># of Trades:</t>
  </si>
  <si>
    <t>WIN RATE%</t>
  </si>
  <si>
    <t>RISK</t>
  </si>
  <si>
    <t>RESULT</t>
  </si>
  <si>
    <t>Optimal Gain/Loss Ratio</t>
  </si>
  <si>
    <t>RESULT-BASED ASSUMPTION FORECAST</t>
  </si>
  <si>
    <t>Expectancy Per Trade:</t>
  </si>
  <si>
    <t>Average Gain:</t>
  </si>
  <si>
    <t>Average Loss:</t>
  </si>
  <si>
    <t>ADJUSTED</t>
  </si>
  <si>
    <t>ORIGINAL</t>
  </si>
  <si>
    <t>POSITION SIZE</t>
  </si>
  <si>
    <t>GROSS</t>
  </si>
  <si>
    <t>CAPITAL</t>
  </si>
  <si>
    <t>RISK MANAGEMENT</t>
  </si>
  <si>
    <t>RISK REWARD PER TRADE</t>
  </si>
  <si>
    <t>REWARD</t>
  </si>
  <si>
    <t>TOP RISK REWARD RATIO</t>
  </si>
  <si>
    <t>% to risk per trade:</t>
  </si>
  <si>
    <t>To risk per trade:</t>
  </si>
  <si>
    <t>DATE</t>
  </si>
  <si>
    <t>ENTRY</t>
  </si>
  <si>
    <t>STOP</t>
  </si>
  <si>
    <t>TARGET</t>
  </si>
  <si>
    <t>NOTES</t>
  </si>
  <si>
    <t>STOCK</t>
  </si>
  <si>
    <t>GAIN/LOSS</t>
  </si>
  <si>
    <t>GROWTH RATE</t>
  </si>
  <si>
    <t>ENTRY
AMOUNT</t>
  </si>
  <si>
    <t>EXIT
AMOUNT</t>
  </si>
  <si>
    <t>END
CAPITAL</t>
  </si>
  <si>
    <t>% GAIN/LOSS</t>
  </si>
  <si>
    <t>10 TRADES</t>
  </si>
  <si>
    <t>1st Tranche</t>
  </si>
  <si>
    <t>2nd Tranche</t>
  </si>
  <si>
    <t>3rd Tranche</t>
  </si>
  <si>
    <t>reward</t>
  </si>
  <si>
    <t>AMOUNT</t>
  </si>
  <si>
    <t>ENTRY AMOUNT</t>
  </si>
  <si>
    <t>RATIO</t>
  </si>
  <si>
    <t>AVE. PRICE</t>
  </si>
  <si>
    <t xml:space="preserve">           RRR</t>
  </si>
  <si>
    <t>AA Excel Spreadsheets© 2016. All Rights Reserved.</t>
  </si>
  <si>
    <t>System Requirements: Windows OS, MS Excel</t>
  </si>
  <si>
    <t>Recommended: At least Windows 7 and Excel 2013</t>
  </si>
  <si>
    <t>How to Enable Macro:</t>
  </si>
  <si>
    <t>Scroll Down for Tutorial</t>
  </si>
  <si>
    <t>Contact us @ aaespreadsheets@gmail.com</t>
  </si>
  <si>
    <t>Like and Support Our Facebook Page @</t>
  </si>
  <si>
    <t>if Security Warning above doesn't appear, follow tutorial below.</t>
  </si>
  <si>
    <t>https://www.facebook.com/AAESpreadsheets/</t>
  </si>
  <si>
    <t xml:space="preserve">Step 1a: </t>
  </si>
  <si>
    <t>(if Developer Tab doesn't apper go to Step 1b.)</t>
  </si>
  <si>
    <t>image#1</t>
  </si>
  <si>
    <t>For updates and tutorials join our Facebook group @</t>
  </si>
  <si>
    <t>https://www.facebook.com/groups/AAESpreadsheets/</t>
  </si>
  <si>
    <t xml:space="preserve">Step 2a: </t>
  </si>
  <si>
    <t>How to view Developer Tab:</t>
  </si>
  <si>
    <t>image#2</t>
  </si>
  <si>
    <t>Step 1b:</t>
  </si>
  <si>
    <t xml:space="preserve">Step 2b:   </t>
  </si>
  <si>
    <t>image#3</t>
  </si>
  <si>
    <t>Step 3b:</t>
  </si>
  <si>
    <t xml:space="preserve">Step 3a: </t>
  </si>
  <si>
    <t>CLC</t>
  </si>
  <si>
    <t>FB</t>
  </si>
  <si>
    <t>MRP</t>
  </si>
  <si>
    <t>TBGI</t>
  </si>
  <si>
    <t>ALL</t>
  </si>
  <si>
    <t>FIN</t>
  </si>
  <si>
    <t>IND</t>
  </si>
  <si>
    <t>HDG</t>
  </si>
  <si>
    <t>PRO</t>
  </si>
  <si>
    <t>SVC</t>
  </si>
  <si>
    <t>M-O</t>
  </si>
  <si>
    <t>CHELSEA</t>
  </si>
  <si>
    <t>Easycall</t>
  </si>
  <si>
    <t>MELCO RESORTS</t>
  </si>
  <si>
    <t>Starmalls</t>
  </si>
  <si>
    <t>Transpacific Br</t>
  </si>
  <si>
    <t>WILCON DEPOT</t>
  </si>
  <si>
    <t>PSEi</t>
  </si>
  <si>
    <t>All Shares</t>
  </si>
  <si>
    <t>Financials</t>
  </si>
  <si>
    <t>Industrial</t>
  </si>
  <si>
    <t>Holding Firms</t>
  </si>
  <si>
    <t>Property</t>
  </si>
  <si>
    <t>Services</t>
  </si>
  <si>
    <t>Mining and Oil</t>
  </si>
  <si>
    <t>SETTINGS</t>
  </si>
  <si>
    <t>%LOSS</t>
  </si>
  <si>
    <t>%GAIN</t>
  </si>
  <si>
    <t>LOSS</t>
  </si>
  <si>
    <t>GAIN</t>
  </si>
  <si>
    <t>MARKET PRICE</t>
  </si>
  <si>
    <t>Risk Calculation</t>
  </si>
  <si>
    <t>MARKET P.</t>
  </si>
  <si>
    <t>BROKER FEE SETTINGS</t>
  </si>
  <si>
    <t>USER GUIDE AND SETTINGS</t>
  </si>
  <si>
    <t>Expectancy Guide</t>
  </si>
  <si>
    <t>Contact Us</t>
  </si>
  <si>
    <t>Amount Loss</t>
  </si>
  <si>
    <t>%Loss</t>
  </si>
  <si>
    <t>Portfolio Remain</t>
  </si>
  <si>
    <t>%Gain To Recover</t>
  </si>
  <si>
    <t>RRHI</t>
  </si>
  <si>
    <t>ROBINSONS RTL</t>
  </si>
  <si>
    <t>Super Trader by Van K.Tharp and The Trading Code by Jason Cam</t>
  </si>
  <si>
    <t>Credits to:</t>
  </si>
  <si>
    <t>Think And Trade Like A Champion by Mark Minervini</t>
  </si>
  <si>
    <t>Position% Per Trade:</t>
  </si>
  <si>
    <t>1.25–2.50 percent risk of total equity (Portfolio)</t>
  </si>
  <si>
    <t>10 percent maximum stop (To Risk Per Trade)</t>
  </si>
  <si>
    <t>Losses should average no more than 5–6 percent</t>
  </si>
  <si>
    <t>Never take a position larger than 50 percent</t>
  </si>
  <si>
    <t>Shoot for optimal 20–25 percent positions in the best names</t>
  </si>
  <si>
    <t>No more than 10–12 stocks total (16–20 for larger professional</t>
  </si>
  <si>
    <t>portfolios)</t>
  </si>
  <si>
    <t>Position Sizing Guidelines by Mark Minervini</t>
  </si>
  <si>
    <r>
      <t xml:space="preserve">Until you know your system very well, I recommend that you 
</t>
    </r>
    <r>
      <rPr>
        <i/>
        <sz val="14"/>
        <color rgb="FFDE2D26"/>
        <rFont val="Calibri"/>
        <family val="2"/>
      </rPr>
      <t>risk about 1% of your equity</t>
    </r>
    <r>
      <rPr>
        <i/>
        <sz val="14"/>
        <color theme="1" tint="0.249977111117893"/>
        <rFont val="Calibri"/>
        <family val="2"/>
      </rPr>
      <t>. -Van K. Tharp</t>
    </r>
  </si>
  <si>
    <t>A person with no objectives and no position sizing guidelines will 
position size totally by emotions. -Van K. Tharp</t>
  </si>
  <si>
    <t>Average Gain %:</t>
  </si>
  <si>
    <t>Gain/Loss:</t>
  </si>
  <si>
    <t>End Capital:</t>
  </si>
  <si>
    <t>aaespreadsheets@gmail.com</t>
  </si>
  <si>
    <t>www.facebook.com/AAESpreadsheets</t>
  </si>
  <si>
    <t>https://www.facebook.com/groups</t>
  </si>
  <si>
    <t>If you want to deal with reality, especially when it comes to position sizing. Use the math of your results as a tool, and hone your edge by calculating the amount of risk you should be taking based on your own performance. - Mark Minervini</t>
  </si>
  <si>
    <t>Winners realize the limitation of only committing things to memory. They are always prepared, and they keep a journal they can reflect upon and compare expectations to reality.</t>
  </si>
  <si>
    <t>Visit our Facebook page to learn more | Contact us to get the latest trial version</t>
  </si>
  <si>
    <t>Also available in foreign version for other markets worldwide</t>
  </si>
  <si>
    <t>If you don’t know your own trading results, how can you intelligently set expectations?</t>
  </si>
  <si>
    <t>Record where you bought and where you sold every single trade. Pretty soon you’ll have a track record of average losses and average wins, and the frequency of the wins and losses. -Mark Minervini</t>
  </si>
  <si>
    <t>Result-Based Assumption Forecast</t>
  </si>
  <si>
    <t>Based on your own results, you can determine what it will take in terms of position size and number of trades to achieve your desired performance.</t>
  </si>
  <si>
    <t>Obviously, to develop a Results-Based Assumption Forecast (RBAF), you need some data; the more the better. When you’re starting out, you will not have many results to analyze. So, the sooner you get started, the sooner you will be armed with valuable data.</t>
  </si>
  <si>
    <t>Stock Trading Journal Spreadsheet</t>
  </si>
  <si>
    <t>Features and Analysis</t>
  </si>
  <si>
    <t>Settings</t>
  </si>
  <si>
    <t>Position sizing will help you find the approximate volume of shares to buy or sell to control your maximum risk per position.</t>
  </si>
  <si>
    <t>Philippine Stock Exchange (PSE) Default Settings</t>
  </si>
  <si>
    <r>
      <t xml:space="preserve">Click </t>
    </r>
    <r>
      <rPr>
        <b/>
        <sz val="11"/>
        <color theme="1"/>
        <rFont val="Calibri"/>
        <family val="2"/>
      </rPr>
      <t>Enable Content.</t>
    </r>
  </si>
  <si>
    <r>
      <t xml:space="preserve">Go to </t>
    </r>
    <r>
      <rPr>
        <b/>
        <sz val="11"/>
        <color theme="1"/>
        <rFont val="Calibri"/>
        <family val="2"/>
      </rPr>
      <t>Developer Tab</t>
    </r>
    <r>
      <rPr>
        <sz val="11"/>
        <color theme="1"/>
        <rFont val="Calibri"/>
        <family val="2"/>
      </rPr>
      <t xml:space="preserve"> and Click </t>
    </r>
    <r>
      <rPr>
        <b/>
        <sz val="11"/>
        <color theme="1"/>
        <rFont val="Calibri"/>
        <family val="2"/>
      </rPr>
      <t xml:space="preserve">Macro Security </t>
    </r>
    <r>
      <rPr>
        <i/>
        <sz val="11"/>
        <color theme="1"/>
        <rFont val="Calibri"/>
        <family val="2"/>
      </rPr>
      <t>(image#1)</t>
    </r>
  </si>
  <si>
    <r>
      <t>Select 3rd or 4th option (</t>
    </r>
    <r>
      <rPr>
        <b/>
        <sz val="11"/>
        <color theme="1"/>
        <rFont val="Calibri"/>
        <family val="2"/>
      </rPr>
      <t>Enable all</t>
    </r>
    <r>
      <rPr>
        <sz val="11"/>
        <color theme="1"/>
        <rFont val="Calibri"/>
        <family val="2"/>
      </rPr>
      <t xml:space="preserve"> macros) and click </t>
    </r>
    <r>
      <rPr>
        <b/>
        <sz val="11"/>
        <color theme="1"/>
        <rFont val="Calibri"/>
        <family val="2"/>
      </rPr>
      <t xml:space="preserve">OK </t>
    </r>
    <r>
      <rPr>
        <i/>
        <sz val="11"/>
        <color theme="1"/>
        <rFont val="Calibri"/>
        <family val="2"/>
      </rPr>
      <t>(image#2)</t>
    </r>
  </si>
  <si>
    <r>
      <t xml:space="preserve">Press </t>
    </r>
    <r>
      <rPr>
        <b/>
        <sz val="11"/>
        <color theme="1"/>
        <rFont val="Calibri"/>
        <family val="2"/>
      </rPr>
      <t>ALT</t>
    </r>
    <r>
      <rPr>
        <sz val="11"/>
        <color theme="1"/>
        <rFont val="Calibri"/>
        <family val="2"/>
      </rPr>
      <t xml:space="preserve"> and type </t>
    </r>
    <r>
      <rPr>
        <b/>
        <sz val="11"/>
        <color theme="1"/>
        <rFont val="Calibri"/>
        <family val="2"/>
      </rPr>
      <t>FTC</t>
    </r>
  </si>
  <si>
    <r>
      <t xml:space="preserve">Check the </t>
    </r>
    <r>
      <rPr>
        <b/>
        <sz val="11"/>
        <color theme="1"/>
        <rFont val="Calibri"/>
        <family val="2"/>
      </rPr>
      <t xml:space="preserve">Developer </t>
    </r>
    <r>
      <rPr>
        <sz val="11"/>
        <color theme="1"/>
        <rFont val="Calibri"/>
        <family val="2"/>
      </rPr>
      <t xml:space="preserve">and the Click </t>
    </r>
    <r>
      <rPr>
        <b/>
        <sz val="11"/>
        <color theme="1"/>
        <rFont val="Calibri"/>
        <family val="2"/>
      </rPr>
      <t>OK</t>
    </r>
    <r>
      <rPr>
        <sz val="11"/>
        <color theme="1"/>
        <rFont val="Calibri"/>
        <family val="2"/>
      </rPr>
      <t xml:space="preserve"> button</t>
    </r>
  </si>
  <si>
    <r>
      <t xml:space="preserve">Follow </t>
    </r>
    <r>
      <rPr>
        <b/>
        <sz val="11"/>
        <color theme="1"/>
        <rFont val="Calibri"/>
        <family val="2"/>
      </rPr>
      <t>Step1a , Step2a and Step 3a.</t>
    </r>
    <r>
      <rPr>
        <sz val="11"/>
        <color theme="1"/>
        <rFont val="Calibri"/>
        <family val="2"/>
      </rPr>
      <t xml:space="preserve"> </t>
    </r>
    <r>
      <rPr>
        <i/>
        <sz val="11"/>
        <color theme="1"/>
        <rFont val="Calibri"/>
        <family val="2"/>
      </rPr>
      <t>(image#3)</t>
    </r>
  </si>
  <si>
    <r>
      <rPr>
        <b/>
        <sz val="11"/>
        <color theme="1"/>
        <rFont val="Calibri"/>
        <family val="2"/>
      </rPr>
      <t xml:space="preserve">Save changes </t>
    </r>
    <r>
      <rPr>
        <sz val="11"/>
        <color theme="1"/>
        <rFont val="Calibri"/>
        <family val="2"/>
      </rPr>
      <t xml:space="preserve">and </t>
    </r>
    <r>
      <rPr>
        <b/>
        <sz val="11"/>
        <color rgb="FFFF0000"/>
        <rFont val="Calibri"/>
        <family val="2"/>
      </rPr>
      <t>Re- OPEN</t>
    </r>
    <r>
      <rPr>
        <sz val="11"/>
        <color theme="1"/>
        <rFont val="Calibri"/>
        <family val="2"/>
      </rPr>
      <t xml:space="preserve"> this worksheet.</t>
    </r>
  </si>
  <si>
    <t xml:space="preserve">Risk management Spreadsheet (RMS)
</t>
  </si>
  <si>
    <t>I start with a much smaller position, 5 to 10 percent of my portfolio, so that my risk is less until a stock can prove itself. If the stock performs as I had hoped, I will increase my position size accordingly or add additional names as they meet my buy criteria. 
- Mark Minervini</t>
  </si>
  <si>
    <t>STOP PRICE HIT</t>
  </si>
  <si>
    <t>TARGET PRICE HIT</t>
  </si>
  <si>
    <t>ENTRY PRICE HIT</t>
  </si>
  <si>
    <t>Market price &lt;= Stop Price</t>
  </si>
  <si>
    <t>Market price &gt;= Entry &lt;TP</t>
  </si>
  <si>
    <t>Market price &gt;=Target Price</t>
  </si>
  <si>
    <t>Top Risk Reward Ratio</t>
  </si>
  <si>
    <t>All trade plan entries are sorted by largest RRR</t>
  </si>
  <si>
    <t>Market price &gt; Stop  &lt;= Entry</t>
  </si>
  <si>
    <t>NO ALERT</t>
  </si>
  <si>
    <t>Market Price</t>
  </si>
  <si>
    <t>Realtime Price update</t>
  </si>
  <si>
    <t>Position Size</t>
  </si>
  <si>
    <t>Risk Management</t>
  </si>
  <si>
    <t>Based on R-Multiple</t>
  </si>
  <si>
    <t>winrate</t>
  </si>
  <si>
    <t>RR</t>
  </si>
  <si>
    <t>1:1</t>
  </si>
  <si>
    <t>2:1</t>
  </si>
  <si>
    <t>Risk Reward Ratio:</t>
  </si>
  <si>
    <t>Adjusted Risk Reward Ratio:</t>
  </si>
  <si>
    <t>Win% for  1:1 Adjusted RRR:</t>
  </si>
  <si>
    <t>%GAIN TO RECOVER</t>
  </si>
  <si>
    <t>Shares to buy to manage risk when price did not go with your bias, losses will not exceed your risk plan when executing stop price.</t>
  </si>
  <si>
    <t>REQUIRED WIN RATE% VS  RRR</t>
  </si>
  <si>
    <t>MAH</t>
  </si>
  <si>
    <t>Win% for 1:2 Adjusted RRR:</t>
  </si>
  <si>
    <t xml:space="preserve">      :            1</t>
  </si>
  <si>
    <t>This allows you to focus on trade setups with higher RRR</t>
  </si>
  <si>
    <t>CNPF</t>
  </si>
  <si>
    <t>CENTURY FOOD</t>
  </si>
  <si>
    <t>PSE Stock Trading Risk Management Spreadsheet</t>
  </si>
  <si>
    <r>
      <rPr>
        <b/>
        <sz val="12"/>
        <color theme="0" tint="-0.14999847407452621"/>
        <rFont val="Calibri"/>
        <family val="2"/>
      </rPr>
      <t xml:space="preserve"> </t>
    </r>
    <r>
      <rPr>
        <b/>
        <sz val="22"/>
        <color rgb="FFDE2D26"/>
        <rFont val="Calibri"/>
        <family val="2"/>
      </rPr>
      <t>Risk Management</t>
    </r>
    <r>
      <rPr>
        <b/>
        <sz val="22"/>
        <color theme="0" tint="-0.34998626667073579"/>
        <rFont val="Calibri"/>
        <family val="2"/>
      </rPr>
      <t xml:space="preserve"> Spreadsheet </t>
    </r>
    <r>
      <rPr>
        <i/>
        <sz val="22"/>
        <color theme="0" tint="-0.34998626667073579"/>
        <rFont val="Calibri"/>
        <family val="2"/>
      </rPr>
      <t>(RMS)</t>
    </r>
  </si>
  <si>
    <t>1 Tranche Position Sizing</t>
  </si>
  <si>
    <t>3 Tranche Position Sizing</t>
  </si>
  <si>
    <t>notes here</t>
  </si>
  <si>
    <t>DIZ</t>
  </si>
  <si>
    <t>Dizon Mines</t>
  </si>
  <si>
    <t>2GO</t>
  </si>
  <si>
    <t>ACR</t>
  </si>
  <si>
    <t>AR</t>
  </si>
  <si>
    <t>ATNB</t>
  </si>
  <si>
    <t>BCOR</t>
  </si>
  <si>
    <t>BEL</t>
  </si>
  <si>
    <t>CAT</t>
  </si>
  <si>
    <t>CIC</t>
  </si>
  <si>
    <t>FERRO</t>
  </si>
  <si>
    <t>FGEN</t>
  </si>
  <si>
    <t>FNI</t>
  </si>
  <si>
    <t>FOOD</t>
  </si>
  <si>
    <t>GEO</t>
  </si>
  <si>
    <t>IRC</t>
  </si>
  <si>
    <t>MAC</t>
  </si>
  <si>
    <t>NI</t>
  </si>
  <si>
    <t>NIKL</t>
  </si>
  <si>
    <t>ORE</t>
  </si>
  <si>
    <t>PA</t>
  </si>
  <si>
    <t>PHA</t>
  </si>
  <si>
    <t>PNB</t>
  </si>
  <si>
    <t>POPI</t>
  </si>
  <si>
    <t>PPG</t>
  </si>
  <si>
    <t>RCI</t>
  </si>
  <si>
    <t>SEVN</t>
  </si>
  <si>
    <t>SHLPH</t>
  </si>
  <si>
    <t>SLI</t>
  </si>
  <si>
    <t>STI</t>
  </si>
  <si>
    <t>WIN</t>
  </si>
  <si>
    <t>X</t>
  </si>
  <si>
    <t>2GO Group</t>
  </si>
  <si>
    <t>Alsons Cons</t>
  </si>
  <si>
    <t>Abra Mining</t>
  </si>
  <si>
    <t>ATN Holdings B</t>
  </si>
  <si>
    <t>Prime Gaming</t>
  </si>
  <si>
    <t>Belle Corp.</t>
  </si>
  <si>
    <t>Tarlac</t>
  </si>
  <si>
    <t>CONCEPCION</t>
  </si>
  <si>
    <t>FERRONOUX HLDG</t>
  </si>
  <si>
    <t>First Gen</t>
  </si>
  <si>
    <t>FERRONICKEL</t>
  </si>
  <si>
    <t>Tuna</t>
  </si>
  <si>
    <t>GEOGRACE</t>
  </si>
  <si>
    <t>Interport A</t>
  </si>
  <si>
    <t>Macroasia</t>
  </si>
  <si>
    <t>NiHAO</t>
  </si>
  <si>
    <t>NICKELASIA</t>
  </si>
  <si>
    <t>Oriental P</t>
  </si>
  <si>
    <t>Pacifica A</t>
  </si>
  <si>
    <t>PremiereHorizon</t>
  </si>
  <si>
    <t>Phil Natl Bank</t>
  </si>
  <si>
    <t>Prime Orion</t>
  </si>
  <si>
    <t>PHINMA PETRO</t>
  </si>
  <si>
    <t>CADP Group</t>
  </si>
  <si>
    <t>11-Jul</t>
  </si>
  <si>
    <t>PILIPINAS SHELL</t>
  </si>
  <si>
    <t>Sta.Lucia Land</t>
  </si>
  <si>
    <t>STI_HOLDINGS</t>
  </si>
  <si>
    <t>Wellex Indus</t>
  </si>
  <si>
    <t>XURPAS</t>
  </si>
  <si>
    <t>Ave.Position Size on Losers:</t>
  </si>
  <si>
    <t>Ave.Position Size on Winners:</t>
  </si>
  <si>
    <t>Portfolio Profit/Loss:</t>
  </si>
  <si>
    <t>Average Port Gain/Trade:</t>
  </si>
  <si>
    <t>Expected RRR:</t>
  </si>
  <si>
    <t>Strategy:</t>
  </si>
  <si>
    <t>ST2</t>
  </si>
  <si>
    <t>ST1</t>
  </si>
  <si>
    <t>entry</t>
  </si>
  <si>
    <t>G/L</t>
  </si>
  <si>
    <t>exit</t>
  </si>
  <si>
    <t>result</t>
  </si>
  <si>
    <t>W</t>
  </si>
  <si>
    <t>L</t>
  </si>
  <si>
    <t>GL%</t>
  </si>
  <si>
    <t>Non-Compounding</t>
  </si>
  <si>
    <t>Compounding</t>
  </si>
  <si>
    <t>Calculator</t>
  </si>
  <si>
    <t>No.</t>
  </si>
  <si>
    <t>G&amp;L %</t>
  </si>
  <si>
    <t>Compounding Growth%:</t>
  </si>
  <si>
    <t>Non-Compounding Growth%:</t>
  </si>
  <si>
    <t>Select Chart Option&gt;&gt;</t>
  </si>
  <si>
    <t>PORTFOLIO</t>
  </si>
  <si>
    <t>Total Bought Value:</t>
  </si>
  <si>
    <t>Total Portfolio Trade Value:</t>
  </si>
  <si>
    <t>Total Equities Gain/Loss:</t>
  </si>
  <si>
    <t>Total Equities %Gain/Loss:</t>
  </si>
  <si>
    <t>Ave. Price</t>
  </si>
  <si>
    <t>Total Account Equity Value:</t>
  </si>
  <si>
    <t>SL &amp; TP in Price</t>
  </si>
  <si>
    <t>SL &amp; TP in %</t>
  </si>
  <si>
    <t/>
  </si>
  <si>
    <t>Target Price</t>
  </si>
  <si>
    <t>%Stop-loss</t>
  </si>
  <si>
    <t>%Target Price</t>
  </si>
  <si>
    <t>code</t>
  </si>
  <si>
    <t>Target Price (%)</t>
  </si>
  <si>
    <t>Cut-loss</t>
  </si>
  <si>
    <t>LONG</t>
  </si>
  <si>
    <t>SHORT</t>
  </si>
  <si>
    <t>Stop-loss 
or Trail Stop</t>
  </si>
  <si>
    <t>Cash Balance:</t>
  </si>
  <si>
    <t>MARKET VALUE</t>
  </si>
  <si>
    <t>PORTFOLIO FORECAST</t>
  </si>
  <si>
    <t>OPEN STOCK POSITIONS</t>
  </si>
  <si>
    <t>STOCK CODE</t>
  </si>
  <si>
    <t>AVERAGE PRICE</t>
  </si>
  <si>
    <t>VALUE</t>
  </si>
  <si>
    <t>TYPE</t>
  </si>
  <si>
    <t>MARKET
PRICE</t>
  </si>
  <si>
    <t>TOTAL
SHARES</t>
  </si>
  <si>
    <t>Position Size Per Trade (%):</t>
  </si>
  <si>
    <t>Equity % to risk per trade (1R):</t>
  </si>
  <si>
    <t>AB</t>
  </si>
  <si>
    <t>ABS</t>
  </si>
  <si>
    <t>ABSP</t>
  </si>
  <si>
    <t>ALCO</t>
  </si>
  <si>
    <t>APC</t>
  </si>
  <si>
    <t>APL</t>
  </si>
  <si>
    <t>BLFI</t>
  </si>
  <si>
    <t>CEI</t>
  </si>
  <si>
    <t>CLI</t>
  </si>
  <si>
    <t>COL</t>
  </si>
  <si>
    <t>CPM</t>
  </si>
  <si>
    <t>DDPR</t>
  </si>
  <si>
    <t>DELM</t>
  </si>
  <si>
    <t>DMW</t>
  </si>
  <si>
    <t>EEI</t>
  </si>
  <si>
    <t>ELI</t>
  </si>
  <si>
    <t>EMP</t>
  </si>
  <si>
    <t>FDC</t>
  </si>
  <si>
    <t>FPH</t>
  </si>
  <si>
    <t>H2O</t>
  </si>
  <si>
    <t>HOUSE</t>
  </si>
  <si>
    <t>HVN</t>
  </si>
  <si>
    <t>LC</t>
  </si>
  <si>
    <t>LOTO</t>
  </si>
  <si>
    <t>LPZ</t>
  </si>
  <si>
    <t>LSC</t>
  </si>
  <si>
    <t>MAXS</t>
  </si>
  <si>
    <t>MHC</t>
  </si>
  <si>
    <t>MJC</t>
  </si>
  <si>
    <t>MRSGI</t>
  </si>
  <si>
    <t>MWC</t>
  </si>
  <si>
    <t>OPM</t>
  </si>
  <si>
    <t>PAL</t>
  </si>
  <si>
    <t>PHEN</t>
  </si>
  <si>
    <t>PHN</t>
  </si>
  <si>
    <t>PIP</t>
  </si>
  <si>
    <t>PIZZA</t>
  </si>
  <si>
    <t>PRMX</t>
  </si>
  <si>
    <t>PSB</t>
  </si>
  <si>
    <t>PX</t>
  </si>
  <si>
    <t>RCB</t>
  </si>
  <si>
    <t>RLT</t>
  </si>
  <si>
    <t>SGI</t>
  </si>
  <si>
    <t>SHNG</t>
  </si>
  <si>
    <t>SPC</t>
  </si>
  <si>
    <t>T</t>
  </si>
  <si>
    <t>TFHI</t>
  </si>
  <si>
    <t>TUGS</t>
  </si>
  <si>
    <t>UBP</t>
  </si>
  <si>
    <t>Atok A</t>
  </si>
  <si>
    <t>ABS-CBN</t>
  </si>
  <si>
    <t>ABS-CBN PDR</t>
  </si>
  <si>
    <t>Arthaland</t>
  </si>
  <si>
    <t>APC Group</t>
  </si>
  <si>
    <t>APOLLO GLOBAL</t>
  </si>
  <si>
    <t>BDO Leasing</t>
  </si>
  <si>
    <t>Crown Equities</t>
  </si>
  <si>
    <t>CEB LANDMASTERS</t>
  </si>
  <si>
    <t>COL Financial</t>
  </si>
  <si>
    <t>Century Peak</t>
  </si>
  <si>
    <t>DD PREF</t>
  </si>
  <si>
    <t>DEL MONTE</t>
  </si>
  <si>
    <t>DM WENCESLAO</t>
  </si>
  <si>
    <t>EEI Corp.</t>
  </si>
  <si>
    <t>Empire East</t>
  </si>
  <si>
    <t>EMPERADOR</t>
  </si>
  <si>
    <t>Filinvest Dev.</t>
  </si>
  <si>
    <t>First Phil Hldg</t>
  </si>
  <si>
    <t>PHIL H2O</t>
  </si>
  <si>
    <t>8990 HLDG</t>
  </si>
  <si>
    <t>GOLDEN BRIA</t>
  </si>
  <si>
    <t>Lepanto A</t>
  </si>
  <si>
    <t>Pacific Online</t>
  </si>
  <si>
    <t>Benpres Hldg.</t>
  </si>
  <si>
    <t>LorenzoShipping</t>
  </si>
  <si>
    <t>MetroAlliance A</t>
  </si>
  <si>
    <t>MAXS GROUP</t>
  </si>
  <si>
    <t>Mabuhay Hldg.</t>
  </si>
  <si>
    <t>Manila Jockey</t>
  </si>
  <si>
    <t>Metro Retail</t>
  </si>
  <si>
    <t>Manila Water</t>
  </si>
  <si>
    <t>ORNTL PETROL A</t>
  </si>
  <si>
    <t>PAL Holdings</t>
  </si>
  <si>
    <t>PHINMA ENERGY</t>
  </si>
  <si>
    <t>Phinma</t>
  </si>
  <si>
    <t>Pepsi-Cola</t>
  </si>
  <si>
    <t>SHAKEYS PIZZA</t>
  </si>
  <si>
    <t>Primex Corp.</t>
  </si>
  <si>
    <t>PSBank</t>
  </si>
  <si>
    <t>PX MINING</t>
  </si>
  <si>
    <t>RCBC</t>
  </si>
  <si>
    <t>PhilRealty</t>
  </si>
  <si>
    <t>Solid Group</t>
  </si>
  <si>
    <t>SHNG Properties</t>
  </si>
  <si>
    <t>SPC POWER</t>
  </si>
  <si>
    <t>TKC METALS</t>
  </si>
  <si>
    <t>TOP FRONTIER</t>
  </si>
  <si>
    <t>HARBOR STAR</t>
  </si>
  <si>
    <t>Union Bank</t>
  </si>
  <si>
    <t>R-Multiple</t>
  </si>
  <si>
    <t xml:space="preserve">   UNREALIZED GAIN/LOSS</t>
  </si>
  <si>
    <t>Select Option&gt;&gt;</t>
  </si>
  <si>
    <t>Account Equity Value:</t>
  </si>
  <si>
    <t>Desired Return:</t>
  </si>
  <si>
    <t>RISK MANAGEMENT PLAN</t>
  </si>
  <si>
    <t>TRADE STATISTICS</t>
  </si>
  <si>
    <t>EXPECTANCY CHART</t>
  </si>
  <si>
    <t>Average Port Loss/Trade:</t>
  </si>
  <si>
    <t>Trade Statistic's Risk Reward Ratio:</t>
  </si>
  <si>
    <t>ACE</t>
  </si>
  <si>
    <t>CROWN</t>
  </si>
  <si>
    <t>GSMI</t>
  </si>
  <si>
    <t>HI</t>
  </si>
  <si>
    <t>JAS</t>
  </si>
  <si>
    <t>LMG</t>
  </si>
  <si>
    <t>LRP</t>
  </si>
  <si>
    <t>OV</t>
  </si>
  <si>
    <t>PHES</t>
  </si>
  <si>
    <t>UPM</t>
  </si>
  <si>
    <t>Acesite Hotel</t>
  </si>
  <si>
    <t>CROWN ASIA</t>
  </si>
  <si>
    <t>Ginebra</t>
  </si>
  <si>
    <t>House of Inv</t>
  </si>
  <si>
    <t>Jackstones</t>
  </si>
  <si>
    <t>LMG Chemicals</t>
  </si>
  <si>
    <t>LR PREF</t>
  </si>
  <si>
    <t>Philodrill A</t>
  </si>
  <si>
    <t>Phil Estates</t>
  </si>
  <si>
    <t>United Paragon</t>
  </si>
  <si>
    <t>Required Win Rate% to Breakeven:</t>
  </si>
  <si>
    <t>REQUIRED WIN RATE% VS RRR</t>
  </si>
  <si>
    <t>REQUIRED RRR VS WIN RATE%</t>
  </si>
  <si>
    <t>RRR To Breakeven (1:1 Adjusted RRR)</t>
  </si>
  <si>
    <t>Account Name</t>
  </si>
  <si>
    <t>Req.Win Rate% to Gain 2x the Risk:</t>
  </si>
  <si>
    <t>ANS</t>
  </si>
  <si>
    <t>CHI</t>
  </si>
  <si>
    <t>COAL</t>
  </si>
  <si>
    <t>EAGLE</t>
  </si>
  <si>
    <t>IS</t>
  </si>
  <si>
    <t>MED</t>
  </si>
  <si>
    <t>OM</t>
  </si>
  <si>
    <t>SLF</t>
  </si>
  <si>
    <t>SMC2C</t>
  </si>
  <si>
    <t>SMC2G</t>
  </si>
  <si>
    <t>SMC2I</t>
  </si>
  <si>
    <t>SSP</t>
  </si>
  <si>
    <t>Anscor</t>
  </si>
  <si>
    <t>Cebu Holdings</t>
  </si>
  <si>
    <t>Coal Asia</t>
  </si>
  <si>
    <t>EAGLE CEMENT</t>
  </si>
  <si>
    <t>Island Info</t>
  </si>
  <si>
    <t>Medco Hldg.</t>
  </si>
  <si>
    <t>Omico Corp.</t>
  </si>
  <si>
    <t>Sun Life</t>
  </si>
  <si>
    <t>SMCPrefs2C</t>
  </si>
  <si>
    <t>SMC Pref 2G</t>
  </si>
  <si>
    <t>SMC Pref 2I</t>
  </si>
  <si>
    <t>PHX SEMICNDCTR</t>
  </si>
  <si>
    <t>%P&amp;L</t>
  </si>
  <si>
    <t>PROFIT/LOSS</t>
  </si>
  <si>
    <t>Position Size% Per Trade:</t>
  </si>
  <si>
    <t>RRR To Gain 2x The Risk (1:2 Adj. RRR)</t>
  </si>
  <si>
    <t>Equity% To Risk/Trade (1R):</t>
  </si>
  <si>
    <t>Expectancy Per Trade %:</t>
  </si>
  <si>
    <t>EDGE Ratio:</t>
  </si>
  <si>
    <t>DFNN</t>
  </si>
  <si>
    <t>I</t>
  </si>
  <si>
    <t>MG</t>
  </si>
  <si>
    <t>Diversified</t>
  </si>
  <si>
    <t>IRemit</t>
  </si>
  <si>
    <t>MG HOLDINGS</t>
  </si>
  <si>
    <t>ACPB2</t>
  </si>
  <si>
    <t>AC PREF B2</t>
  </si>
  <si>
    <t>Ave.Position Size on Winners %:</t>
  </si>
  <si>
    <t>Ave.Position Size on Losers %:</t>
  </si>
  <si>
    <t>Desired Return %:</t>
  </si>
  <si>
    <t>Average Loss %:</t>
  </si>
  <si>
    <t>RFM</t>
  </si>
  <si>
    <t>RFM Corp</t>
  </si>
  <si>
    <t>Cell Format Price Alert</t>
  </si>
  <si>
    <t>Ave.Position Size on Winners%:</t>
  </si>
  <si>
    <t>Ave.Position Size on Losers%:</t>
  </si>
  <si>
    <t>Desired Return%:</t>
  </si>
  <si>
    <t>&gt;&gt;</t>
  </si>
  <si>
    <r>
      <t xml:space="preserve">       </t>
    </r>
    <r>
      <rPr>
        <b/>
        <sz val="18"/>
        <color rgb="FFDE2D26"/>
        <rFont val="Calibri"/>
        <family val="2"/>
      </rPr>
      <t xml:space="preserve"> </t>
    </r>
    <r>
      <rPr>
        <b/>
        <sz val="18"/>
        <color theme="1" tint="0.34998626667073579"/>
        <rFont val="Calibri"/>
        <family val="2"/>
      </rPr>
      <t>Trading Journal</t>
    </r>
  </si>
  <si>
    <t>Auto</t>
  </si>
  <si>
    <t>Manual</t>
  </si>
  <si>
    <t>AT</t>
  </si>
  <si>
    <t>BSC</t>
  </si>
  <si>
    <t>CYBR</t>
  </si>
  <si>
    <t>EURO</t>
  </si>
  <si>
    <t>LFM</t>
  </si>
  <si>
    <t>PERC</t>
  </si>
  <si>
    <t>PNX3B</t>
  </si>
  <si>
    <t>PRF2A</t>
  </si>
  <si>
    <t>SUN</t>
  </si>
  <si>
    <t>Atlas Mining</t>
  </si>
  <si>
    <t>BASIC ENERGY</t>
  </si>
  <si>
    <t>Cyber Bay</t>
  </si>
  <si>
    <t>Euromed</t>
  </si>
  <si>
    <t>Liberty Flour</t>
  </si>
  <si>
    <t>PetroEnergy</t>
  </si>
  <si>
    <t>PNX PREF 3B</t>
  </si>
  <si>
    <t>PCOR PREF 2A</t>
  </si>
  <si>
    <t>Suntrust Home</t>
  </si>
  <si>
    <t>Dashboard</t>
  </si>
  <si>
    <t xml:space="preserve">Refresh Data    </t>
  </si>
  <si>
    <t>Strategy 1</t>
  </si>
  <si>
    <t>Strategy 2</t>
  </si>
  <si>
    <t>CEU</t>
  </si>
  <si>
    <t>DAVIN</t>
  </si>
  <si>
    <t>MARC</t>
  </si>
  <si>
    <t>PRIM</t>
  </si>
  <si>
    <t>Centro Escolar</t>
  </si>
  <si>
    <t>DAVINCI CAPITAL</t>
  </si>
  <si>
    <t>Marcventures</t>
  </si>
  <si>
    <t>Prime Media</t>
  </si>
  <si>
    <t>8990P</t>
  </si>
  <si>
    <t>ACPB1</t>
  </si>
  <si>
    <t>ALCPB</t>
  </si>
  <si>
    <t>DWC</t>
  </si>
  <si>
    <t>IMP</t>
  </si>
  <si>
    <t>IPO</t>
  </si>
  <si>
    <t>LCB</t>
  </si>
  <si>
    <t>MWP</t>
  </si>
  <si>
    <t>NRCP</t>
  </si>
  <si>
    <t>PRF2B</t>
  </si>
  <si>
    <t>ROX</t>
  </si>
  <si>
    <t>TFC</t>
  </si>
  <si>
    <t>ZHI</t>
  </si>
  <si>
    <t>HOUSE PREF A</t>
  </si>
  <si>
    <t>AC PREF B1</t>
  </si>
  <si>
    <t>ALCO PREF B</t>
  </si>
  <si>
    <t>DISCOVERY WORLD</t>
  </si>
  <si>
    <t>IMPERIAL</t>
  </si>
  <si>
    <t>IPeople</t>
  </si>
  <si>
    <t>Lepanto B</t>
  </si>
  <si>
    <t>MWIDE PREF</t>
  </si>
  <si>
    <t>PhilNaRe</t>
  </si>
  <si>
    <t>PCOR PREF 2B</t>
  </si>
  <si>
    <t>Roxas Hldg.</t>
  </si>
  <si>
    <t>PTFC REDEV CORP</t>
  </si>
  <si>
    <t>Zeus Holdings</t>
  </si>
  <si>
    <t>Your stats will literally make their way into your trading and guide you. -Mark Minervini</t>
  </si>
  <si>
    <t>Trade Plan Sheet</t>
  </si>
  <si>
    <t>Trade Plan Sheet will allow you to forecast your portfolio value based on your trade plan execution.</t>
  </si>
  <si>
    <t>APO</t>
  </si>
  <si>
    <t>DMPA1</t>
  </si>
  <si>
    <t>DMPA2</t>
  </si>
  <si>
    <t>GMAP</t>
  </si>
  <si>
    <t>HLCM</t>
  </si>
  <si>
    <t>MJIC</t>
  </si>
  <si>
    <t>PPC</t>
  </si>
  <si>
    <t>PTC</t>
  </si>
  <si>
    <t>SGP</t>
  </si>
  <si>
    <t>VVT</t>
  </si>
  <si>
    <t>Anglo-Phil Hldg</t>
  </si>
  <si>
    <t>USD DMPL A1</t>
  </si>
  <si>
    <t>USD DMPL A2</t>
  </si>
  <si>
    <t>GMA Holdings</t>
  </si>
  <si>
    <t>Holcim</t>
  </si>
  <si>
    <t>MJCI</t>
  </si>
  <si>
    <t>Pryce Corp.</t>
  </si>
  <si>
    <t>Philtrust</t>
  </si>
  <si>
    <t>TRANSGRID</t>
  </si>
  <si>
    <t>Vivant</t>
  </si>
  <si>
    <t>Ver.7.0</t>
  </si>
  <si>
    <t>2018-10-23T14:50:00+08:00</t>
  </si>
  <si>
    <t>PBC</t>
  </si>
  <si>
    <t>PBCom</t>
  </si>
  <si>
    <t>Trial Version</t>
  </si>
  <si>
    <t xml:space="preserve">      RMS-V7.1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</si>
</sst>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4" formatCode="_(&quot;$&quot;* #,##0.00_);_(&quot;$&quot;* \(#,##0.00\);_(&quot;$&quot;* &quot;-&quot;??_);_(@_)"/>
    <numFmt numFmtId="43" formatCode="_(* #,##0.00_);_(* \(#,##0.00\);_(* &quot;-&quot;??_);_(@_)"/>
    <numFmt numFmtId="164" formatCode="_([$PHP]\ * #,##0.00_);_([$PHP]\ * \(#,##0.00\);_([$PHP]\ * &quot;-&quot;??_);_(@_)"/>
    <numFmt numFmtId="165" formatCode="0.0%"/>
    <numFmt numFmtId="166" formatCode="0.000"/>
    <numFmt numFmtId="167" formatCode="#,##0.00000_);\(#,##0.00000\)"/>
    <numFmt numFmtId="168" formatCode="#,##0.0_);\(#,##0.0\)"/>
    <numFmt numFmtId="169" formatCode="#,##0.000_);\(#,##0.000\)"/>
    <numFmt numFmtId="170" formatCode="0.0"/>
    <numFmt numFmtId="171" formatCode="#,##0.000"/>
    <numFmt numFmtId="172" formatCode="_(* #,##0.0000_);_(* \(#,##0.0000\);_(* &quot;-&quot;??_);_(@_)"/>
    <numFmt numFmtId="173" formatCode="_(* #,##0_);_(* \(#,##0\);_(* &quot;-&quot;??_);_(@_)"/>
    <numFmt numFmtId="174" formatCode="_([$$-409]* #,##0.00_);_([$$-409]* \(#,##0.00\);_([$$-409]* &quot;-&quot;??_);_(@_)"/>
    <numFmt numFmtId="175" formatCode="_-[$₱-464]* #,##0.00_-;\-[$₱-464]* #,##0.00_-;_-[$₱-464]* &quot;-&quot;??_-;_-@_-"/>
    <numFmt numFmtId="176" formatCode="0.00000000000000%"/>
  </numFmts>
  <fonts count="215" x14ac:knownFonts="1">
    <font>
      <sz val="11"/>
      <color theme="1"/>
      <name val="Calibri"/>
      <family val="2"/>
      <scheme val="minor"/>
    </font>
    <font>
      <sz val="11"/>
      <color theme="1"/>
      <name val="Calibri"/>
      <family val="2"/>
      <scheme val="minor"/>
    </font>
    <font>
      <sz val="11"/>
      <color theme="1"/>
      <name val="Century Gothic"/>
      <family val="2"/>
    </font>
    <font>
      <sz val="11"/>
      <color theme="0" tint="-0.249977111117893"/>
      <name val="Century Gothic"/>
      <family val="2"/>
    </font>
    <font>
      <u/>
      <sz val="11"/>
      <color theme="10"/>
      <name val="Calibri"/>
      <family val="2"/>
      <scheme val="minor"/>
    </font>
    <font>
      <sz val="12"/>
      <color rgb="FFF6F6F6"/>
      <name val="Calibri"/>
      <family val="2"/>
      <scheme val="minor"/>
    </font>
    <font>
      <sz val="11"/>
      <color theme="0"/>
      <name val="Century Gothic"/>
      <family val="2"/>
    </font>
    <font>
      <sz val="11"/>
      <color theme="0" tint="-4.9989318521683403E-2"/>
      <name val="Century Gothic"/>
      <family val="2"/>
    </font>
    <font>
      <sz val="11"/>
      <color rgb="FF555555"/>
      <name val="Century Gothic"/>
      <family val="2"/>
    </font>
    <font>
      <sz val="11"/>
      <color theme="1" tint="0.34998626667073579"/>
      <name val="Calibri"/>
      <family val="2"/>
      <scheme val="minor"/>
    </font>
    <font>
      <sz val="11"/>
      <color rgb="FF00B050"/>
      <name val="Calibri"/>
      <family val="2"/>
      <scheme val="minor"/>
    </font>
    <font>
      <sz val="11"/>
      <color theme="0" tint="-0.34998626667073579"/>
      <name val="Calibri"/>
      <family val="2"/>
      <scheme val="minor"/>
    </font>
    <font>
      <sz val="11"/>
      <color theme="0" tint="-0.249977111117893"/>
      <name val="Calibri"/>
      <family val="2"/>
      <scheme val="minor"/>
    </font>
    <font>
      <sz val="11"/>
      <color theme="1" tint="0.499984740745262"/>
      <name val="Calibri"/>
      <family val="2"/>
      <scheme val="minor"/>
    </font>
    <font>
      <sz val="11"/>
      <color rgb="FFFF0000"/>
      <name val="Calibri"/>
      <family val="2"/>
      <scheme val="minor"/>
    </font>
    <font>
      <sz val="12"/>
      <color theme="1" tint="0.499984740745262"/>
      <name val="Calibri"/>
      <family val="2"/>
      <scheme val="minor"/>
    </font>
    <font>
      <b/>
      <sz val="12"/>
      <color theme="0" tint="-4.9989318521683403E-2"/>
      <name val="Calibri"/>
      <family val="2"/>
      <scheme val="minor"/>
    </font>
    <font>
      <sz val="12"/>
      <color theme="0" tint="-0.14999847407452621"/>
      <name val="Calibri"/>
      <family val="2"/>
      <scheme val="minor"/>
    </font>
    <font>
      <sz val="11"/>
      <color rgb="FFDE2D26"/>
      <name val="Calibri"/>
      <family val="2"/>
      <scheme val="minor"/>
    </font>
    <font>
      <b/>
      <sz val="12"/>
      <color rgb="FFDE2D26"/>
      <name val="Calibri"/>
      <family val="2"/>
      <scheme val="minor"/>
    </font>
    <font>
      <b/>
      <sz val="12"/>
      <color rgb="FF31A354"/>
      <name val="Calibri"/>
      <family val="2"/>
      <scheme val="minor"/>
    </font>
    <font>
      <sz val="11"/>
      <color theme="1"/>
      <name val="Calibri"/>
      <family val="2"/>
    </font>
    <font>
      <b/>
      <sz val="14"/>
      <color rgb="FFDE2D26"/>
      <name val="Calibri"/>
      <family val="2"/>
      <scheme val="minor"/>
    </font>
    <font>
      <sz val="11"/>
      <color rgb="FF31A354"/>
      <name val="Calibri"/>
      <family val="2"/>
      <scheme val="minor"/>
    </font>
    <font>
      <sz val="11"/>
      <color theme="0" tint="-0.14999847407452621"/>
      <name val="Calibri"/>
      <family val="2"/>
    </font>
    <font>
      <i/>
      <sz val="8"/>
      <color theme="1" tint="0.34998626667073579"/>
      <name val="Calibri"/>
      <family val="2"/>
    </font>
    <font>
      <sz val="11"/>
      <color theme="0" tint="-0.249977111117893"/>
      <name val="Calibri"/>
      <family val="2"/>
    </font>
    <font>
      <b/>
      <sz val="10"/>
      <color theme="0" tint="-0.14999847407452621"/>
      <name val="Calibri"/>
      <family val="2"/>
    </font>
    <font>
      <sz val="11"/>
      <color theme="1" tint="0.249977111117893"/>
      <name val="Calibri"/>
      <family val="2"/>
    </font>
    <font>
      <sz val="11"/>
      <color rgb="FF00B050"/>
      <name val="Calibri"/>
      <family val="2"/>
    </font>
    <font>
      <sz val="11"/>
      <color rgb="FFDE2D26"/>
      <name val="Calibri"/>
      <family val="2"/>
    </font>
    <font>
      <sz val="11"/>
      <color rgb="FFFF0000"/>
      <name val="Calibri"/>
      <family val="2"/>
    </font>
    <font>
      <sz val="11"/>
      <color theme="1" tint="0.34998626667073579"/>
      <name val="Calibri"/>
      <family val="2"/>
    </font>
    <font>
      <i/>
      <sz val="11"/>
      <color theme="1" tint="0.34998626667073579"/>
      <name val="Calibri"/>
      <family val="2"/>
    </font>
    <font>
      <i/>
      <sz val="11"/>
      <color theme="1"/>
      <name val="Calibri"/>
      <family val="2"/>
    </font>
    <font>
      <b/>
      <sz val="11"/>
      <color theme="1" tint="0.34998626667073579"/>
      <name val="Calibri"/>
      <family val="2"/>
    </font>
    <font>
      <sz val="11"/>
      <color rgb="FF31A354"/>
      <name val="Calibri"/>
      <family val="2"/>
    </font>
    <font>
      <sz val="12"/>
      <color theme="0" tint="-0.14999847407452621"/>
      <name val="Calibri"/>
      <family val="2"/>
    </font>
    <font>
      <sz val="10"/>
      <color theme="1" tint="0.499984740745262"/>
      <name val="Calibri"/>
      <family val="2"/>
      <scheme val="minor"/>
    </font>
    <font>
      <sz val="10"/>
      <color theme="1" tint="0.34998626667073579"/>
      <name val="Calibri"/>
      <family val="2"/>
    </font>
    <font>
      <sz val="11"/>
      <color theme="0" tint="-0.34998626667073579"/>
      <name val="Calibri"/>
      <family val="2"/>
    </font>
    <font>
      <b/>
      <sz val="12"/>
      <color theme="0" tint="-0.249977111117893"/>
      <name val="Calibri"/>
      <family val="2"/>
      <scheme val="minor"/>
    </font>
    <font>
      <b/>
      <sz val="26"/>
      <color theme="1" tint="0.34998626667073579"/>
      <name val="Century Gothic"/>
      <family val="2"/>
    </font>
    <font>
      <b/>
      <sz val="14"/>
      <color theme="1" tint="0.499984740745262"/>
      <name val="Century Gothic"/>
      <family val="2"/>
    </font>
    <font>
      <b/>
      <sz val="12"/>
      <color theme="1" tint="0.499984740745262"/>
      <name val="Century Gothic"/>
      <family val="2"/>
    </font>
    <font>
      <b/>
      <sz val="18"/>
      <color rgb="FFFF0000"/>
      <name val="Century Gothic"/>
      <family val="2"/>
    </font>
    <font>
      <b/>
      <sz val="11"/>
      <color theme="0" tint="-0.14999847407452621"/>
      <name val="Calibri"/>
      <family val="2"/>
    </font>
    <font>
      <sz val="8"/>
      <color rgb="FFDE2D26"/>
      <name val="Century Gothic"/>
      <family val="2"/>
    </font>
    <font>
      <b/>
      <sz val="14"/>
      <color theme="0" tint="-0.249977111117893"/>
      <name val="Calibri"/>
      <family val="2"/>
      <scheme val="minor"/>
    </font>
    <font>
      <sz val="11"/>
      <color theme="0" tint="-0.499984740745262"/>
      <name val="Calibri"/>
      <family val="2"/>
      <scheme val="minor"/>
    </font>
    <font>
      <b/>
      <sz val="14"/>
      <color rgb="FFFF3737"/>
      <name val="Calibri"/>
      <family val="2"/>
    </font>
    <font>
      <b/>
      <sz val="11"/>
      <color theme="0" tint="-0.34998626667073579"/>
      <name val="Calibri"/>
      <family val="2"/>
    </font>
    <font>
      <b/>
      <sz val="10"/>
      <color theme="0" tint="-0.34998626667073579"/>
      <name val="Calibri"/>
      <family val="2"/>
    </font>
    <font>
      <sz val="11"/>
      <color theme="0" tint="-4.9989318521683403E-2"/>
      <name val="Calibri"/>
      <family val="2"/>
    </font>
    <font>
      <b/>
      <sz val="16"/>
      <color rgb="FF00B050"/>
      <name val="Calibri"/>
      <family val="2"/>
    </font>
    <font>
      <sz val="10"/>
      <color theme="1" tint="4.9989318521683403E-2"/>
      <name val="Calibri"/>
      <family val="2"/>
    </font>
    <font>
      <sz val="12"/>
      <color theme="0" tint="-0.249977111117893"/>
      <name val="Calibri"/>
      <family val="2"/>
    </font>
    <font>
      <b/>
      <sz val="12"/>
      <color theme="0" tint="-0.249977111117893"/>
      <name val="Calibri"/>
      <family val="2"/>
    </font>
    <font>
      <sz val="12"/>
      <color rgb="FFFF3737"/>
      <name val="Calibri"/>
      <family val="2"/>
    </font>
    <font>
      <sz val="11"/>
      <color theme="1" tint="4.9989318521683403E-2"/>
      <name val="Calibri"/>
      <family val="2"/>
      <scheme val="minor"/>
    </font>
    <font>
      <sz val="12"/>
      <color rgb="FF1D2129"/>
      <name val="Calibri"/>
      <family val="2"/>
    </font>
    <font>
      <sz val="12"/>
      <color theme="1"/>
      <name val="Calibri"/>
      <family val="2"/>
    </font>
    <font>
      <sz val="12"/>
      <color theme="1" tint="0.34998626667073579"/>
      <name val="Calibri"/>
      <family val="2"/>
    </font>
    <font>
      <sz val="12"/>
      <color theme="1" tint="0.249977111117893"/>
      <name val="Calibri"/>
      <family val="2"/>
    </font>
    <font>
      <u/>
      <sz val="12"/>
      <color theme="10"/>
      <name val="Calibri"/>
      <family val="2"/>
    </font>
    <font>
      <sz val="12"/>
      <color theme="0" tint="-0.34998626667073579"/>
      <name val="Calibri"/>
      <family val="2"/>
    </font>
    <font>
      <sz val="11"/>
      <color theme="0" tint="-4.9989318521683403E-2"/>
      <name val="Calibri"/>
      <family val="2"/>
      <scheme val="minor"/>
    </font>
    <font>
      <b/>
      <sz val="14"/>
      <color theme="0" tint="-4.9989318521683403E-2"/>
      <name val="Calibri"/>
      <family val="2"/>
    </font>
    <font>
      <b/>
      <sz val="11"/>
      <color theme="0" tint="-0.499984740745262"/>
      <name val="Calibri"/>
      <family val="2"/>
    </font>
    <font>
      <sz val="10"/>
      <color theme="0" tint="-4.9989318521683403E-2"/>
      <name val="Century Gothic"/>
      <family val="2"/>
    </font>
    <font>
      <b/>
      <sz val="14"/>
      <color rgb="FFFF3737"/>
      <name val="Calibri"/>
      <family val="2"/>
      <scheme val="minor"/>
    </font>
    <font>
      <sz val="12"/>
      <color theme="0" tint="-0.249977111117893"/>
      <name val="Calibri"/>
      <family val="2"/>
      <scheme val="minor"/>
    </font>
    <font>
      <sz val="12"/>
      <color rgb="FFDE2D26"/>
      <name val="Calibri"/>
      <family val="2"/>
      <scheme val="minor"/>
    </font>
    <font>
      <sz val="12"/>
      <color rgb="FF31A354"/>
      <name val="Calibri"/>
      <family val="2"/>
      <scheme val="minor"/>
    </font>
    <font>
      <sz val="12"/>
      <color rgb="FF31A354"/>
      <name val="Calibri"/>
      <family val="2"/>
    </font>
    <font>
      <sz val="12"/>
      <color rgb="FFDE2D26"/>
      <name val="Calibri"/>
      <family val="2"/>
    </font>
    <font>
      <b/>
      <sz val="14"/>
      <color theme="0" tint="-0.249977111117893"/>
      <name val="Calibri"/>
      <family val="2"/>
    </font>
    <font>
      <sz val="12"/>
      <color theme="0" tint="-0.499984740745262"/>
      <name val="Calibri"/>
      <family val="2"/>
    </font>
    <font>
      <b/>
      <sz val="14"/>
      <color rgb="FF31A354"/>
      <name val="Calibri"/>
      <family val="2"/>
    </font>
    <font>
      <sz val="14"/>
      <color theme="0" tint="-0.499984740745262"/>
      <name val="Calibri"/>
      <family val="2"/>
    </font>
    <font>
      <i/>
      <sz val="12"/>
      <color theme="0" tint="-0.499984740745262"/>
      <name val="Calibri"/>
      <family val="2"/>
    </font>
    <font>
      <sz val="11"/>
      <color theme="0" tint="-0.499984740745262"/>
      <name val="Calibri"/>
      <family val="2"/>
    </font>
    <font>
      <sz val="11"/>
      <color theme="0" tint="-0.14999847407452621"/>
      <name val="Calibri"/>
      <family val="2"/>
      <scheme val="minor"/>
    </font>
    <font>
      <i/>
      <sz val="11"/>
      <color theme="1" tint="0.499984740745262"/>
      <name val="Calibri"/>
      <family val="2"/>
      <scheme val="minor"/>
    </font>
    <font>
      <b/>
      <i/>
      <sz val="14"/>
      <color theme="1" tint="0.249977111117893"/>
      <name val="Calibri"/>
      <family val="2"/>
    </font>
    <font>
      <i/>
      <sz val="14"/>
      <color theme="1"/>
      <name val="Calibri"/>
      <family val="2"/>
    </font>
    <font>
      <i/>
      <sz val="14"/>
      <color theme="1" tint="0.249977111117893"/>
      <name val="Calibri"/>
      <family val="2"/>
    </font>
    <font>
      <i/>
      <sz val="14"/>
      <color rgb="FFDE2D26"/>
      <name val="Calibri"/>
      <family val="2"/>
    </font>
    <font>
      <sz val="13"/>
      <color theme="1" tint="0.249977111117893"/>
      <name val="Calibri"/>
      <family val="2"/>
    </font>
    <font>
      <sz val="11"/>
      <color rgb="FFFF3737"/>
      <name val="Calibri"/>
      <family val="2"/>
    </font>
    <font>
      <b/>
      <sz val="12"/>
      <color theme="0" tint="-0.499984740745262"/>
      <name val="Calibri"/>
      <family val="2"/>
    </font>
    <font>
      <b/>
      <sz val="12"/>
      <color theme="1" tint="0.34998626667073579"/>
      <name val="Calibri"/>
      <family val="2"/>
    </font>
    <font>
      <b/>
      <sz val="18"/>
      <color theme="1" tint="0.34998626667073579"/>
      <name val="Calibri"/>
      <family val="2"/>
    </font>
    <font>
      <i/>
      <u/>
      <sz val="14"/>
      <color theme="10"/>
      <name val="Calibri"/>
      <family val="2"/>
      <scheme val="minor"/>
    </font>
    <font>
      <b/>
      <sz val="18"/>
      <color rgb="FFDE2D26"/>
      <name val="Calibri"/>
      <family val="2"/>
    </font>
    <font>
      <i/>
      <sz val="12"/>
      <color theme="1"/>
      <name val="Calibri"/>
      <family val="2"/>
    </font>
    <font>
      <i/>
      <sz val="12"/>
      <color theme="1" tint="0.34998626667073579"/>
      <name val="Calibri"/>
      <family val="2"/>
    </font>
    <font>
      <i/>
      <sz val="12"/>
      <color theme="1" tint="0.249977111117893"/>
      <name val="Calibri"/>
      <family val="2"/>
    </font>
    <font>
      <sz val="12"/>
      <color theme="0" tint="-0.499984740745262"/>
      <name val="Calibri"/>
      <family val="2"/>
      <scheme val="minor"/>
    </font>
    <font>
      <sz val="12"/>
      <color theme="1" tint="0.499984740745262"/>
      <name val="Calibri"/>
      <family val="2"/>
    </font>
    <font>
      <b/>
      <sz val="16"/>
      <color theme="0" tint="-0.249977111117893"/>
      <name val="Calibri"/>
      <family val="2"/>
    </font>
    <font>
      <i/>
      <sz val="8"/>
      <color theme="2" tint="-0.499984740745262"/>
      <name val="Calibri"/>
      <family val="2"/>
    </font>
    <font>
      <b/>
      <sz val="14"/>
      <color theme="1" tint="0.34998626667073579"/>
      <name val="Calibri"/>
      <family val="2"/>
    </font>
    <font>
      <sz val="8"/>
      <color theme="0" tint="-0.34998626667073579"/>
      <name val="Calibri"/>
      <family val="2"/>
    </font>
    <font>
      <b/>
      <sz val="11"/>
      <color theme="1"/>
      <name val="Calibri"/>
      <family val="2"/>
    </font>
    <font>
      <b/>
      <i/>
      <sz val="11"/>
      <color theme="1" tint="0.249977111117893"/>
      <name val="Calibri"/>
      <family val="2"/>
    </font>
    <font>
      <i/>
      <sz val="10"/>
      <color rgb="FFFF0000"/>
      <name val="Calibri"/>
      <family val="2"/>
    </font>
    <font>
      <b/>
      <i/>
      <sz val="12"/>
      <color rgb="FF0070C0"/>
      <name val="Calibri"/>
      <family val="2"/>
    </font>
    <font>
      <b/>
      <sz val="11"/>
      <color rgb="FFFF0000"/>
      <name val="Calibri"/>
      <family val="2"/>
    </font>
    <font>
      <b/>
      <i/>
      <sz val="14"/>
      <color theme="10"/>
      <name val="Calibri"/>
      <family val="2"/>
    </font>
    <font>
      <i/>
      <sz val="10"/>
      <color theme="1" tint="0.34998626667073579"/>
      <name val="Calibri"/>
      <family val="2"/>
    </font>
    <font>
      <b/>
      <sz val="22"/>
      <color theme="1" tint="0.34998626667073579"/>
      <name val="Calibri"/>
      <family val="2"/>
    </font>
    <font>
      <b/>
      <sz val="22"/>
      <color theme="0" tint="-0.14999847407452621"/>
      <name val="Calibri"/>
      <family val="2"/>
    </font>
    <font>
      <i/>
      <sz val="10"/>
      <color theme="0" tint="-0.249977111117893"/>
      <name val="Calibri"/>
      <family val="2"/>
      <scheme val="minor"/>
    </font>
    <font>
      <i/>
      <sz val="12"/>
      <color theme="0" tint="-0.249977111117893"/>
      <name val="Calibri"/>
      <family val="2"/>
      <scheme val="minor"/>
    </font>
    <font>
      <b/>
      <sz val="12"/>
      <color theme="1" tint="0.14999847407452621"/>
      <name val="Calibri"/>
      <family val="2"/>
    </font>
    <font>
      <sz val="11"/>
      <color theme="1" tint="0.249977111117893"/>
      <name val="Calibri"/>
      <family val="2"/>
      <scheme val="minor"/>
    </font>
    <font>
      <i/>
      <sz val="11"/>
      <color rgb="FF4BC972"/>
      <name val="Calibri"/>
      <family val="2"/>
      <scheme val="minor"/>
    </font>
    <font>
      <sz val="10"/>
      <color rgb="FFFF0000"/>
      <name val="Century Gothic"/>
      <family val="2"/>
    </font>
    <font>
      <i/>
      <sz val="11"/>
      <color theme="0" tint="-0.34998626667073579"/>
      <name val="Calibri"/>
      <family val="2"/>
      <scheme val="minor"/>
    </font>
    <font>
      <sz val="12"/>
      <color theme="1" tint="0.249977111117893"/>
      <name val="Calibri"/>
      <family val="2"/>
      <scheme val="minor"/>
    </font>
    <font>
      <sz val="12"/>
      <color rgb="FF781712"/>
      <name val="Calibri"/>
      <family val="2"/>
      <scheme val="minor"/>
    </font>
    <font>
      <sz val="12"/>
      <color rgb="FF1C5E30"/>
      <name val="Calibri"/>
      <family val="2"/>
      <scheme val="minor"/>
    </font>
    <font>
      <b/>
      <sz val="12"/>
      <color theme="1" tint="0.34998626667073579"/>
      <name val="Calibri"/>
      <family val="2"/>
      <scheme val="minor"/>
    </font>
    <font>
      <i/>
      <sz val="10"/>
      <color theme="1" tint="0.249977111117893"/>
      <name val="Calibri"/>
      <family val="2"/>
      <scheme val="minor"/>
    </font>
    <font>
      <i/>
      <sz val="12"/>
      <color theme="1" tint="4.9989318521683403E-2"/>
      <name val="Calibri"/>
      <family val="2"/>
    </font>
    <font>
      <sz val="14"/>
      <color theme="1" tint="0.34998626667073579"/>
      <name val="Calibri"/>
      <family val="2"/>
    </font>
    <font>
      <b/>
      <sz val="22"/>
      <color theme="0" tint="-0.34998626667073579"/>
      <name val="Calibri"/>
      <family val="2"/>
    </font>
    <font>
      <b/>
      <sz val="22"/>
      <color rgb="FFDE2D26"/>
      <name val="Calibri"/>
      <family val="2"/>
    </font>
    <font>
      <i/>
      <sz val="22"/>
      <color theme="0" tint="-0.34998626667073579"/>
      <name val="Calibri"/>
      <family val="2"/>
    </font>
    <font>
      <b/>
      <sz val="12"/>
      <color theme="0" tint="-0.14999847407452621"/>
      <name val="Calibri"/>
      <family val="2"/>
    </font>
    <font>
      <sz val="11"/>
      <color theme="0" tint="-0.14999847407452621"/>
      <name val="Century Gothic"/>
      <family val="2"/>
    </font>
    <font>
      <i/>
      <sz val="12"/>
      <color theme="1" tint="0.34998626667073579"/>
      <name val="Century Gothic"/>
      <family val="2"/>
    </font>
    <font>
      <b/>
      <i/>
      <sz val="22"/>
      <color theme="0" tint="-0.499984740745262"/>
      <name val="Calibri"/>
      <family val="2"/>
    </font>
    <font>
      <b/>
      <sz val="11"/>
      <color rgb="FFDE2D26"/>
      <name val="Calibri"/>
      <family val="2"/>
      <scheme val="minor"/>
    </font>
    <font>
      <sz val="10"/>
      <color theme="1" tint="0.34998626667073579"/>
      <name val="Calibri"/>
      <family val="2"/>
      <scheme val="minor"/>
    </font>
    <font>
      <b/>
      <sz val="14"/>
      <color rgb="FFDE2D26"/>
      <name val="Calibri"/>
      <family val="2"/>
    </font>
    <font>
      <b/>
      <sz val="12"/>
      <color rgb="FFFF3737"/>
      <name val="Calibri"/>
      <family val="2"/>
    </font>
    <font>
      <sz val="12"/>
      <color rgb="FF00B050"/>
      <name val="Calibri"/>
      <family val="2"/>
    </font>
    <font>
      <sz val="11"/>
      <color theme="1" tint="0.499984740745262"/>
      <name val="Calibri"/>
      <family val="2"/>
    </font>
    <font>
      <sz val="12"/>
      <color theme="0"/>
      <name val="Calibri"/>
      <family val="2"/>
    </font>
    <font>
      <sz val="10"/>
      <color theme="1" tint="0.499984740745262"/>
      <name val="Calibri"/>
      <family val="2"/>
    </font>
    <font>
      <sz val="11"/>
      <color theme="5"/>
      <name val="Calibri"/>
      <family val="2"/>
    </font>
    <font>
      <sz val="10"/>
      <name val="Arial"/>
      <family val="2"/>
    </font>
    <font>
      <sz val="9"/>
      <name val="Arial"/>
      <family val="2"/>
    </font>
    <font>
      <sz val="10"/>
      <color theme="1" tint="0.34998626667073579"/>
      <name val="Century Gothic"/>
      <family val="2"/>
    </font>
    <font>
      <sz val="10"/>
      <color rgb="FFFF0000"/>
      <name val="Arial"/>
      <family val="2"/>
    </font>
    <font>
      <b/>
      <sz val="11"/>
      <color theme="0"/>
      <name val="Century Gothic"/>
      <family val="2"/>
    </font>
    <font>
      <sz val="9"/>
      <color theme="0" tint="-0.249977111117893"/>
      <name val="Century Gothic"/>
      <family val="2"/>
    </font>
    <font>
      <sz val="8"/>
      <color theme="1" tint="0.34998626667073579"/>
      <name val="Century Gothic"/>
      <family val="2"/>
    </font>
    <font>
      <b/>
      <sz val="10"/>
      <color theme="0"/>
      <name val="Century Gothic"/>
      <family val="2"/>
    </font>
    <font>
      <sz val="10"/>
      <color theme="2"/>
      <name val="Arial"/>
      <family val="2"/>
    </font>
    <font>
      <sz val="8"/>
      <color rgb="FF757574"/>
      <name val="Century Gothic"/>
      <family val="2"/>
    </font>
    <font>
      <sz val="8"/>
      <color theme="5"/>
      <name val="Arial"/>
      <family val="2"/>
    </font>
    <font>
      <sz val="8"/>
      <color theme="0" tint="-0.499984740745262"/>
      <name val="Century Gothic"/>
      <family val="2"/>
    </font>
    <font>
      <b/>
      <sz val="8"/>
      <color rgb="FF2B2B2B"/>
      <name val="Century Gothic"/>
      <family val="2"/>
    </font>
    <font>
      <b/>
      <sz val="9"/>
      <color theme="0"/>
      <name val="Calibri"/>
      <family val="2"/>
    </font>
    <font>
      <b/>
      <sz val="12"/>
      <color rgb="FFFFFFFF"/>
      <name val="Calibri"/>
      <family val="2"/>
    </font>
    <font>
      <b/>
      <sz val="11"/>
      <color rgb="FFFA3E3E"/>
      <name val="Calibri"/>
      <family val="2"/>
    </font>
    <font>
      <b/>
      <sz val="11"/>
      <color rgb="FF00B050"/>
      <name val="Calibri"/>
      <family val="2"/>
    </font>
    <font>
      <sz val="10"/>
      <color theme="1" tint="0.499984740745262"/>
      <name val="Century Gothic"/>
      <family val="2"/>
    </font>
    <font>
      <sz val="8"/>
      <color theme="1" tint="0.499984740745262"/>
      <name val="Century Gothic"/>
      <family val="2"/>
    </font>
    <font>
      <b/>
      <sz val="11"/>
      <color theme="0"/>
      <name val="Calibri"/>
      <family val="2"/>
    </font>
    <font>
      <sz val="10"/>
      <name val="Calibri"/>
      <family val="2"/>
    </font>
    <font>
      <b/>
      <sz val="10"/>
      <color theme="1" tint="0.34998626667073579"/>
      <name val="Calibri"/>
      <family val="2"/>
    </font>
    <font>
      <b/>
      <sz val="10"/>
      <color theme="1" tint="0.249977111117893"/>
      <name val="Calibri"/>
      <family val="2"/>
    </font>
    <font>
      <b/>
      <sz val="10"/>
      <color theme="0" tint="-0.249977111117893"/>
      <name val="Calibri"/>
      <family val="2"/>
    </font>
    <font>
      <b/>
      <sz val="12"/>
      <color rgb="FFDE2D26"/>
      <name val="Calibri"/>
      <family val="2"/>
    </font>
    <font>
      <sz val="11"/>
      <color rgb="FFFA3E3E"/>
      <name val="Calibri"/>
      <family val="2"/>
    </font>
    <font>
      <sz val="10"/>
      <color theme="0" tint="-0.34998626667073579"/>
      <name val="Calibri"/>
      <family val="2"/>
    </font>
    <font>
      <sz val="10"/>
      <color theme="1"/>
      <name val="Calibri"/>
      <family val="2"/>
    </font>
    <font>
      <b/>
      <sz val="11"/>
      <color theme="0" tint="-0.249977111117893"/>
      <name val="Calibri"/>
      <family val="2"/>
    </font>
    <font>
      <sz val="9"/>
      <color theme="0" tint="-0.499984740745262"/>
      <name val="Calibri"/>
      <family val="2"/>
    </font>
    <font>
      <sz val="11"/>
      <color theme="2" tint="-0.749992370372631"/>
      <name val="Calibri"/>
      <family val="2"/>
    </font>
    <font>
      <sz val="12"/>
      <color theme="0" tint="-4.9989318521683403E-2"/>
      <name val="Calibri"/>
      <family val="2"/>
    </font>
    <font>
      <b/>
      <sz val="12"/>
      <color theme="0" tint="-0.34998626667073579"/>
      <name val="Calibri"/>
      <family val="2"/>
    </font>
    <font>
      <sz val="10"/>
      <color theme="2" tint="-0.89999084444715716"/>
      <name val="Arial"/>
      <family val="2"/>
    </font>
    <font>
      <sz val="8"/>
      <color theme="2" tint="-0.89999084444715716"/>
      <name val="Century Gothic"/>
      <family val="2"/>
    </font>
    <font>
      <b/>
      <sz val="11"/>
      <color theme="0" tint="-0.249977111117893"/>
      <name val="Calibri"/>
      <family val="2"/>
      <scheme val="minor"/>
    </font>
    <font>
      <sz val="9"/>
      <color theme="1" tint="0.499984740745262"/>
      <name val="Century Gothic"/>
      <family val="2"/>
    </font>
    <font>
      <sz val="10"/>
      <color theme="0" tint="-0.14999847407452621"/>
      <name val="Arial Narrow"/>
      <family val="2"/>
    </font>
    <font>
      <b/>
      <sz val="14"/>
      <color rgb="FF00B050"/>
      <name val="Calibri"/>
      <family val="2"/>
      <scheme val="minor"/>
    </font>
    <font>
      <sz val="10"/>
      <color theme="0" tint="-0.249977111117893"/>
      <name val="Calibri"/>
      <family val="2"/>
    </font>
    <font>
      <b/>
      <sz val="11"/>
      <color rgb="FFDE2D26"/>
      <name val="Calibri"/>
      <family val="2"/>
    </font>
    <font>
      <sz val="10"/>
      <color theme="0" tint="-0.499984740745262"/>
      <name val="Calibri"/>
      <family val="2"/>
    </font>
    <font>
      <sz val="14"/>
      <color theme="0" tint="-0.249977111117893"/>
      <name val="Calibri"/>
      <family val="2"/>
      <scheme val="minor"/>
    </font>
    <font>
      <sz val="12"/>
      <color theme="1"/>
      <name val="Calibri"/>
      <family val="2"/>
      <scheme val="minor"/>
    </font>
    <font>
      <sz val="14"/>
      <color theme="0" tint="-0.14999847407452621"/>
      <name val="Calibri"/>
      <family val="2"/>
      <scheme val="minor"/>
    </font>
    <font>
      <sz val="10"/>
      <color theme="0" tint="-0.499984740745262"/>
      <name val="Calibri"/>
      <family val="2"/>
      <scheme val="minor"/>
    </font>
    <font>
      <b/>
      <sz val="10"/>
      <color theme="0"/>
      <name val="Calibri"/>
      <family val="2"/>
    </font>
    <font>
      <b/>
      <sz val="14"/>
      <color theme="0" tint="-0.34998626667073579"/>
      <name val="Calibri"/>
      <family val="2"/>
      <scheme val="minor"/>
    </font>
    <font>
      <sz val="11"/>
      <color theme="2" tint="-0.89999084444715716"/>
      <name val="Calibri"/>
      <family val="2"/>
    </font>
    <font>
      <i/>
      <sz val="11"/>
      <color theme="2" tint="-0.89999084444715716"/>
      <name val="Calibri"/>
      <family val="2"/>
    </font>
    <font>
      <sz val="12"/>
      <color theme="1" tint="0.34998626667073579"/>
      <name val="Calibri"/>
      <family val="2"/>
      <scheme val="minor"/>
    </font>
    <font>
      <b/>
      <sz val="10"/>
      <color theme="0" tint="-0.14999847407452621"/>
      <name val="Century Gothic"/>
      <family val="2"/>
    </font>
    <font>
      <b/>
      <sz val="9"/>
      <color theme="0" tint="-0.14999847407452621"/>
      <name val="Century Gothic"/>
      <family val="2"/>
    </font>
    <font>
      <sz val="11"/>
      <color rgb="FFF6F6F6"/>
      <name val="Calibri"/>
      <family val="2"/>
    </font>
    <font>
      <sz val="11"/>
      <color theme="1" tint="0.34998626667073579"/>
      <name val="Century Gothic"/>
      <family val="2"/>
    </font>
    <font>
      <sz val="12"/>
      <color rgb="FF00B050"/>
      <name val="Calibri"/>
      <family val="2"/>
      <scheme val="minor"/>
    </font>
    <font>
      <sz val="9"/>
      <color rgb="FFFF0000"/>
      <name val="Calibri"/>
      <family val="2"/>
      <scheme val="minor"/>
    </font>
    <font>
      <sz val="11"/>
      <color theme="2" tint="-0.89999084444715716"/>
      <name val="Calibri"/>
      <family val="2"/>
      <scheme val="minor"/>
    </font>
    <font>
      <b/>
      <sz val="12"/>
      <color theme="1" tint="0.499984740745262"/>
      <name val="Calibri"/>
      <family val="2"/>
      <scheme val="minor"/>
    </font>
    <font>
      <i/>
      <sz val="8"/>
      <color theme="1" tint="0.249977111117893"/>
      <name val="Calibri"/>
      <family val="2"/>
      <scheme val="minor"/>
    </font>
    <font>
      <i/>
      <sz val="11"/>
      <color theme="0" tint="-0.499984740745262"/>
      <name val="Calibri"/>
      <family val="2"/>
      <scheme val="minor"/>
    </font>
    <font>
      <sz val="11"/>
      <color theme="1" tint="4.9989318521683403E-2"/>
      <name val="Century Gothic"/>
      <family val="2"/>
    </font>
    <font>
      <sz val="11"/>
      <color theme="0"/>
      <name val="Calibri"/>
      <family val="2"/>
      <scheme val="minor"/>
    </font>
    <font>
      <sz val="10"/>
      <color theme="0" tint="-0.34998626667073579"/>
      <name val="Calibri"/>
      <family val="2"/>
      <scheme val="minor"/>
    </font>
    <font>
      <sz val="10"/>
      <color rgb="FFDE2D26"/>
      <name val="Calibri"/>
      <family val="2"/>
      <scheme val="minor"/>
    </font>
    <font>
      <sz val="10"/>
      <color rgb="FF31A354"/>
      <name val="Calibri"/>
      <family val="2"/>
      <scheme val="minor"/>
    </font>
    <font>
      <sz val="10"/>
      <color theme="0" tint="-0.249977111117893"/>
      <name val="Calibri"/>
      <family val="2"/>
      <scheme val="minor"/>
    </font>
    <font>
      <sz val="9"/>
      <color theme="0" tint="-0.499984740745262"/>
      <name val="Calibri"/>
      <family val="2"/>
      <scheme val="minor"/>
    </font>
    <font>
      <sz val="10"/>
      <color rgb="FFDE2D26"/>
      <name val="Calibri"/>
      <family val="2"/>
    </font>
    <font>
      <sz val="10"/>
      <color rgb="FF00B050"/>
      <name val="Calibri"/>
      <family val="2"/>
    </font>
    <font>
      <sz val="9"/>
      <color theme="1" tint="0.34998626667073579"/>
      <name val="Calibri"/>
      <family val="2"/>
    </font>
    <font>
      <sz val="11"/>
      <color rgb="FFFF0000"/>
      <name val="Century Gothic"/>
      <family val="2"/>
    </font>
  </fonts>
  <fills count="20">
    <fill>
      <patternFill patternType="none"/>
    </fill>
    <fill>
      <patternFill patternType="gray125"/>
    </fill>
    <fill>
      <patternFill patternType="solid">
        <fgColor rgb="FF2B2B2B"/>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theme="1" tint="0.14999847407452621"/>
        <bgColor indexed="64"/>
      </patternFill>
    </fill>
    <fill>
      <patternFill patternType="solid">
        <fgColor rgb="FFDE2D26"/>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rgb="FF4BC972"/>
        <bgColor indexed="64"/>
      </patternFill>
    </fill>
    <fill>
      <patternFill patternType="solid">
        <fgColor rgb="FFF3B6B3"/>
        <bgColor indexed="64"/>
      </patternFill>
    </fill>
    <fill>
      <patternFill patternType="solid">
        <fgColor rgb="FF212121"/>
        <bgColor indexed="64"/>
      </patternFill>
    </fill>
    <fill>
      <patternFill patternType="solid">
        <fgColor rgb="FF282828"/>
        <bgColor indexed="64"/>
      </patternFill>
    </fill>
    <fill>
      <patternFill patternType="solid">
        <fgColor rgb="FF00B050"/>
        <bgColor indexed="64"/>
      </patternFill>
    </fill>
    <fill>
      <patternFill patternType="solid">
        <fgColor rgb="FFFFFAEB"/>
        <bgColor indexed="64"/>
      </patternFill>
    </fill>
    <fill>
      <patternFill patternType="solid">
        <fgColor theme="2" tint="-0.749992370372631"/>
        <bgColor indexed="64"/>
      </patternFill>
    </fill>
  </fills>
  <borders count="100">
    <border>
      <left/>
      <right/>
      <top/>
      <bottom/>
      <diagonal/>
    </border>
    <border>
      <left style="thin">
        <color rgb="FF000000"/>
      </left>
      <right style="thin">
        <color rgb="FF000000"/>
      </right>
      <top style="thin">
        <color rgb="FF000000"/>
      </top>
      <bottom style="thin">
        <color rgb="FF000000"/>
      </bottom>
      <diagonal/>
    </border>
    <border>
      <left style="thin">
        <color theme="2" tint="-0.749961851863155"/>
      </left>
      <right style="thin">
        <color theme="2" tint="-0.749961851863155"/>
      </right>
      <top/>
      <bottom/>
      <diagonal/>
    </border>
    <border>
      <left/>
      <right style="thin">
        <color theme="2" tint="-0.749961851863155"/>
      </right>
      <top/>
      <bottom/>
      <diagonal/>
    </border>
    <border>
      <left style="thin">
        <color theme="2" tint="-0.749961851863155"/>
      </left>
      <right/>
      <top/>
      <bottom/>
      <diagonal/>
    </border>
    <border>
      <left/>
      <right style="thin">
        <color theme="1" tint="0.14996795556505021"/>
      </right>
      <top/>
      <bottom style="thin">
        <color rgb="FF333131"/>
      </bottom>
      <diagonal/>
    </border>
    <border>
      <left style="thin">
        <color theme="1" tint="0.14996795556505021"/>
      </left>
      <right style="thin">
        <color theme="1" tint="0.14996795556505021"/>
      </right>
      <top/>
      <bottom style="thin">
        <color rgb="FF333131"/>
      </bottom>
      <diagonal/>
    </border>
    <border>
      <left style="thin">
        <color theme="1" tint="0.14996795556505021"/>
      </left>
      <right/>
      <top/>
      <bottom style="thin">
        <color rgb="FF333131"/>
      </bottom>
      <diagonal/>
    </border>
    <border>
      <left/>
      <right style="thin">
        <color theme="1" tint="0.14996795556505021"/>
      </right>
      <top style="thin">
        <color rgb="FF333131"/>
      </top>
      <bottom style="thin">
        <color rgb="FF333131"/>
      </bottom>
      <diagonal/>
    </border>
    <border>
      <left style="thin">
        <color theme="1" tint="0.14996795556505021"/>
      </left>
      <right style="thin">
        <color theme="1" tint="0.14996795556505021"/>
      </right>
      <top style="thin">
        <color rgb="FF333131"/>
      </top>
      <bottom style="thin">
        <color rgb="FF333131"/>
      </bottom>
      <diagonal/>
    </border>
    <border>
      <left/>
      <right style="thin">
        <color theme="1" tint="0.14996795556505021"/>
      </right>
      <top style="thin">
        <color rgb="FF333131"/>
      </top>
      <bottom style="thin">
        <color theme="1" tint="0.24994659260841701"/>
      </bottom>
      <diagonal/>
    </border>
    <border>
      <left style="thin">
        <color theme="1" tint="0.14996795556505021"/>
      </left>
      <right style="thin">
        <color theme="1" tint="0.14996795556505021"/>
      </right>
      <top style="thin">
        <color rgb="FF333131"/>
      </top>
      <bottom style="thin">
        <color theme="1" tint="0.24994659260841701"/>
      </bottom>
      <diagonal/>
    </border>
    <border>
      <left/>
      <right/>
      <top/>
      <bottom style="thin">
        <color rgb="FF333131"/>
      </bottom>
      <diagonal/>
    </border>
    <border>
      <left/>
      <right/>
      <top style="thin">
        <color rgb="FF333131"/>
      </top>
      <bottom style="thin">
        <color rgb="FF333131"/>
      </bottom>
      <diagonal/>
    </border>
    <border>
      <left/>
      <right/>
      <top style="thin">
        <color rgb="FF333131"/>
      </top>
      <bottom/>
      <diagonal/>
    </border>
    <border>
      <left/>
      <right/>
      <top style="thin">
        <color theme="1" tint="4.9989318521683403E-2"/>
      </top>
      <bottom style="thin">
        <color theme="1" tint="4.9989318521683403E-2"/>
      </bottom>
      <diagonal/>
    </border>
    <border>
      <left/>
      <right style="thin">
        <color theme="1" tint="0.14996795556505021"/>
      </right>
      <top/>
      <bottom/>
      <diagonal/>
    </border>
    <border>
      <left style="thin">
        <color theme="1" tint="0.14996795556505021"/>
      </left>
      <right style="thin">
        <color theme="1" tint="0.14996795556505021"/>
      </right>
      <top/>
      <bottom/>
      <diagonal/>
    </border>
    <border>
      <left style="thin">
        <color theme="1" tint="0.14996795556505021"/>
      </left>
      <right/>
      <top/>
      <bottom/>
      <diagonal/>
    </border>
    <border>
      <left/>
      <right/>
      <top/>
      <bottom style="thin">
        <color theme="1" tint="0.14999847407452621"/>
      </bottom>
      <diagonal/>
    </border>
    <border>
      <left/>
      <right style="thin">
        <color theme="1" tint="4.9989318521683403E-2"/>
      </right>
      <top/>
      <bottom style="thin">
        <color theme="1" tint="0.24994659260841701"/>
      </bottom>
      <diagonal/>
    </border>
    <border>
      <left style="thin">
        <color theme="1" tint="4.9989318521683403E-2"/>
      </left>
      <right style="thin">
        <color theme="1" tint="4.9989318521683403E-2"/>
      </right>
      <top/>
      <bottom style="thin">
        <color theme="1" tint="0.24994659260841701"/>
      </bottom>
      <diagonal/>
    </border>
    <border>
      <left style="thin">
        <color theme="1" tint="4.9989318521683403E-2"/>
      </left>
      <right/>
      <top/>
      <bottom style="thin">
        <color theme="1" tint="0.24994659260841701"/>
      </bottom>
      <diagonal/>
    </border>
    <border>
      <left/>
      <right style="thin">
        <color theme="1" tint="4.9989318521683403E-2"/>
      </right>
      <top style="thin">
        <color theme="1" tint="0.24994659260841701"/>
      </top>
      <bottom style="thin">
        <color theme="1" tint="0.24994659260841701"/>
      </bottom>
      <diagonal/>
    </border>
    <border>
      <left style="thin">
        <color theme="1" tint="4.9989318521683403E-2"/>
      </left>
      <right style="thin">
        <color theme="1" tint="4.9989318521683403E-2"/>
      </right>
      <top style="thin">
        <color theme="1" tint="0.24994659260841701"/>
      </top>
      <bottom style="thin">
        <color theme="1" tint="0.24994659260841701"/>
      </bottom>
      <diagonal/>
    </border>
    <border>
      <left style="thin">
        <color theme="1" tint="4.9989318521683403E-2"/>
      </left>
      <right/>
      <top style="thin">
        <color theme="1" tint="0.24994659260841701"/>
      </top>
      <bottom style="thin">
        <color theme="1" tint="0.24994659260841701"/>
      </bottom>
      <diagonal/>
    </border>
    <border>
      <left/>
      <right style="thin">
        <color theme="1" tint="4.9989318521683403E-2"/>
      </right>
      <top style="thin">
        <color theme="1" tint="0.24994659260841701"/>
      </top>
      <bottom/>
      <diagonal/>
    </border>
    <border>
      <left style="thin">
        <color theme="1" tint="4.9989318521683403E-2"/>
      </left>
      <right style="thin">
        <color theme="1" tint="4.9989318521683403E-2"/>
      </right>
      <top style="thin">
        <color theme="1" tint="0.24994659260841701"/>
      </top>
      <bottom/>
      <diagonal/>
    </border>
    <border>
      <left style="thin">
        <color theme="1" tint="4.9989318521683403E-2"/>
      </left>
      <right/>
      <top style="thin">
        <color theme="1" tint="0.24994659260841701"/>
      </top>
      <bottom/>
      <diagonal/>
    </border>
    <border>
      <left style="thin">
        <color theme="2" tint="-9.9948118533890809E-2"/>
      </left>
      <right/>
      <top/>
      <bottom/>
      <diagonal/>
    </border>
    <border>
      <left/>
      <right/>
      <top/>
      <bottom style="thin">
        <color theme="1" tint="4.9989318521683403E-2"/>
      </bottom>
      <diagonal/>
    </border>
    <border>
      <left/>
      <right/>
      <top style="thin">
        <color theme="1" tint="4.9989318521683403E-2"/>
      </top>
      <bottom/>
      <diagonal/>
    </border>
    <border>
      <left/>
      <right/>
      <top style="thin">
        <color theme="1" tint="0.14996795556505021"/>
      </top>
      <bottom style="thin">
        <color theme="1"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4.9989318521683403E-2"/>
      </left>
      <right/>
      <top/>
      <bottom style="thin">
        <color theme="1" tint="0.14999847407452621"/>
      </bottom>
      <diagonal/>
    </border>
    <border>
      <left/>
      <right/>
      <top/>
      <bottom style="thin">
        <color auto="1"/>
      </bottom>
      <diagonal/>
    </border>
    <border>
      <left/>
      <right/>
      <top style="thin">
        <color auto="1"/>
      </top>
      <bottom/>
      <diagonal/>
    </border>
    <border>
      <left/>
      <right style="thin">
        <color theme="1" tint="0.14996795556505021"/>
      </right>
      <top style="thin">
        <color theme="1" tint="0.14993743705557422"/>
      </top>
      <bottom/>
      <diagonal/>
    </border>
    <border>
      <left style="thin">
        <color theme="1" tint="0.14996795556505021"/>
      </left>
      <right style="thin">
        <color theme="1" tint="0.14996795556505021"/>
      </right>
      <top style="thin">
        <color theme="1" tint="0.14993743705557422"/>
      </top>
      <bottom/>
      <diagonal/>
    </border>
    <border>
      <left style="thin">
        <color theme="1" tint="0.14996795556505021"/>
      </left>
      <right/>
      <top style="thin">
        <color theme="1" tint="0.14993743705557422"/>
      </top>
      <bottom/>
      <diagonal/>
    </border>
    <border>
      <left/>
      <right style="thin">
        <color theme="1" tint="0.14996795556505021"/>
      </right>
      <top/>
      <bottom style="thin">
        <color theme="1" tint="0.14993743705557422"/>
      </bottom>
      <diagonal/>
    </border>
    <border>
      <left style="thin">
        <color theme="1" tint="0.14996795556505021"/>
      </left>
      <right style="thin">
        <color theme="1" tint="0.14996795556505021"/>
      </right>
      <top/>
      <bottom style="thin">
        <color theme="1" tint="0.14993743705557422"/>
      </bottom>
      <diagonal/>
    </border>
    <border>
      <left style="thin">
        <color theme="1" tint="0.14996795556505021"/>
      </left>
      <right/>
      <top/>
      <bottom style="thin">
        <color theme="1" tint="0.14993743705557422"/>
      </bottom>
      <diagonal/>
    </border>
    <border>
      <left/>
      <right style="thin">
        <color theme="1" tint="0.14996795556505021"/>
      </right>
      <top/>
      <bottom style="thin">
        <color theme="1" tint="0.14990691854609822"/>
      </bottom>
      <diagonal/>
    </border>
    <border>
      <left style="thin">
        <color theme="1" tint="0.14996795556505021"/>
      </left>
      <right style="thin">
        <color theme="1" tint="0.14996795556505021"/>
      </right>
      <top/>
      <bottom style="thin">
        <color theme="1" tint="0.14990691854609822"/>
      </bottom>
      <diagonal/>
    </border>
    <border>
      <left style="thin">
        <color theme="1" tint="0.14996795556505021"/>
      </left>
      <right/>
      <top/>
      <bottom style="thin">
        <color theme="1" tint="0.14990691854609822"/>
      </bottom>
      <diagonal/>
    </border>
    <border>
      <left/>
      <right style="thick">
        <color theme="1" tint="4.9989318521683403E-2"/>
      </right>
      <top style="thin">
        <color theme="1" tint="4.9989318521683403E-2"/>
      </top>
      <bottom style="thin">
        <color theme="2" tint="-0.89996032593768116"/>
      </bottom>
      <diagonal/>
    </border>
    <border>
      <left style="thick">
        <color theme="1" tint="4.9989318521683403E-2"/>
      </left>
      <right/>
      <top style="thin">
        <color theme="1" tint="4.9989318521683403E-2"/>
      </top>
      <bottom style="thin">
        <color theme="2" tint="-0.89996032593768116"/>
      </bottom>
      <diagonal/>
    </border>
    <border>
      <left/>
      <right style="thick">
        <color theme="1" tint="4.9989318521683403E-2"/>
      </right>
      <top style="thin">
        <color theme="2" tint="-0.89996032593768116"/>
      </top>
      <bottom style="thin">
        <color theme="2" tint="-0.89996032593768116"/>
      </bottom>
      <diagonal/>
    </border>
    <border>
      <left style="thick">
        <color theme="1" tint="4.9989318521683403E-2"/>
      </left>
      <right style="thin">
        <color theme="1" tint="4.9989318521683403E-2"/>
      </right>
      <top style="thin">
        <color theme="2" tint="-0.89996032593768116"/>
      </top>
      <bottom style="thin">
        <color theme="2" tint="-0.89996032593768116"/>
      </bottom>
      <diagonal/>
    </border>
    <border>
      <left/>
      <right style="thick">
        <color theme="1" tint="4.9989318521683403E-2"/>
      </right>
      <top style="thin">
        <color theme="2" tint="-0.89996032593768116"/>
      </top>
      <bottom style="thin">
        <color theme="1" tint="4.9989318521683403E-2"/>
      </bottom>
      <diagonal/>
    </border>
    <border>
      <left style="thick">
        <color theme="1" tint="4.9989318521683403E-2"/>
      </left>
      <right style="thin">
        <color theme="1" tint="4.9989318521683403E-2"/>
      </right>
      <top style="thin">
        <color theme="2" tint="-0.89996032593768116"/>
      </top>
      <bottom style="thin">
        <color theme="1" tint="4.9989318521683403E-2"/>
      </bottom>
      <diagonal/>
    </border>
    <border>
      <left/>
      <right style="medium">
        <color rgb="FF282828"/>
      </right>
      <top/>
      <bottom/>
      <diagonal/>
    </border>
    <border>
      <left style="medium">
        <color rgb="FF282828"/>
      </left>
      <right/>
      <top/>
      <bottom/>
      <diagonal/>
    </border>
    <border>
      <left style="thick">
        <color theme="1" tint="0.14993743705557422"/>
      </left>
      <right/>
      <top/>
      <bottom/>
      <diagonal/>
    </border>
    <border>
      <left/>
      <right style="thick">
        <color theme="1" tint="0.14993743705557422"/>
      </right>
      <top/>
      <bottom/>
      <diagonal/>
    </border>
    <border>
      <left/>
      <right/>
      <top/>
      <bottom style="thin">
        <color theme="1" tint="0.14996795556505021"/>
      </bottom>
      <diagonal/>
    </border>
    <border>
      <left/>
      <right/>
      <top style="thin">
        <color theme="1" tint="0.14996795556505021"/>
      </top>
      <bottom/>
      <diagonal/>
    </border>
    <border>
      <left/>
      <right/>
      <top style="thin">
        <color theme="1" tint="0.14996795556505021"/>
      </top>
      <bottom style="thin">
        <color theme="1" tint="0.499984740745262"/>
      </bottom>
      <diagonal/>
    </border>
    <border>
      <left/>
      <right style="thin">
        <color theme="1" tint="0.14993743705557422"/>
      </right>
      <top/>
      <bottom style="thin">
        <color theme="1" tint="0.14996795556505021"/>
      </bottom>
      <diagonal/>
    </border>
    <border>
      <left/>
      <right style="thin">
        <color theme="1" tint="0.14993743705557422"/>
      </right>
      <top style="thin">
        <color theme="1" tint="0.14996795556505021"/>
      </top>
      <bottom style="thin">
        <color theme="1" tint="0.14996795556505021"/>
      </bottom>
      <diagonal/>
    </border>
    <border>
      <left/>
      <right style="thin">
        <color theme="1" tint="0.14993743705557422"/>
      </right>
      <top style="thin">
        <color theme="1" tint="0.14996795556505021"/>
      </top>
      <bottom/>
      <diagonal/>
    </border>
    <border>
      <left style="thin">
        <color theme="1" tint="0.14993743705557422"/>
      </left>
      <right/>
      <top/>
      <bottom style="thin">
        <color theme="1" tint="0.14996795556505021"/>
      </bottom>
      <diagonal/>
    </border>
    <border>
      <left style="thin">
        <color theme="1" tint="0.14993743705557422"/>
      </left>
      <right/>
      <top style="thin">
        <color theme="1" tint="0.14996795556505021"/>
      </top>
      <bottom style="thin">
        <color theme="1" tint="0.14996795556505021"/>
      </bottom>
      <diagonal/>
    </border>
    <border>
      <left style="thin">
        <color theme="1" tint="0.14993743705557422"/>
      </left>
      <right style="thin">
        <color theme="1" tint="0.14993743705557422"/>
      </right>
      <top/>
      <bottom style="thin">
        <color theme="1" tint="0.14996795556505021"/>
      </bottom>
      <diagonal/>
    </border>
    <border>
      <left style="thin">
        <color theme="1" tint="0.14993743705557422"/>
      </left>
      <right style="thin">
        <color theme="1" tint="0.14993743705557422"/>
      </right>
      <top style="thin">
        <color theme="1" tint="0.14996795556505021"/>
      </top>
      <bottom style="thin">
        <color theme="1" tint="0.14996795556505021"/>
      </bottom>
      <diagonal/>
    </border>
    <border>
      <left style="thin">
        <color theme="2" tint="-0.89996032593768116"/>
      </left>
      <right/>
      <top/>
      <bottom/>
      <diagonal/>
    </border>
    <border>
      <left/>
      <right/>
      <top/>
      <bottom style="thin">
        <color theme="2" tint="-0.89996032593768116"/>
      </bottom>
      <diagonal/>
    </border>
    <border>
      <left/>
      <right/>
      <top style="thin">
        <color theme="2" tint="-0.89996032593768116"/>
      </top>
      <bottom style="thin">
        <color theme="2" tint="-0.89996032593768116"/>
      </bottom>
      <diagonal/>
    </border>
    <border>
      <left/>
      <right/>
      <top style="thin">
        <color theme="2" tint="-0.89996032593768116"/>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right style="thin">
        <color theme="0" tint="-0.24994659260841701"/>
      </right>
      <top/>
      <bottom/>
      <diagonal/>
    </border>
    <border>
      <left style="thin">
        <color theme="0" tint="-0.24994659260841701"/>
      </left>
      <right/>
      <top/>
      <bottom/>
      <diagonal/>
    </border>
    <border>
      <left/>
      <right style="thin">
        <color rgb="FF323232"/>
      </right>
      <top/>
      <bottom style="medium">
        <color rgb="FF323232"/>
      </bottom>
      <diagonal/>
    </border>
    <border>
      <left style="thin">
        <color rgb="FF323232"/>
      </left>
      <right style="thin">
        <color rgb="FF323232"/>
      </right>
      <top/>
      <bottom style="medium">
        <color rgb="FF323232"/>
      </bottom>
      <diagonal/>
    </border>
    <border>
      <left style="thin">
        <color rgb="FF323232"/>
      </left>
      <right/>
      <top/>
      <bottom style="medium">
        <color rgb="FF323232"/>
      </bottom>
      <diagonal/>
    </border>
    <border>
      <left/>
      <right style="thin">
        <color rgb="FF323232"/>
      </right>
      <top style="medium">
        <color rgb="FF323232"/>
      </top>
      <bottom/>
      <diagonal/>
    </border>
    <border>
      <left style="thin">
        <color rgb="FF323232"/>
      </left>
      <right style="thin">
        <color rgb="FF323232"/>
      </right>
      <top style="medium">
        <color rgb="FF323232"/>
      </top>
      <bottom/>
      <diagonal/>
    </border>
    <border>
      <left style="thin">
        <color rgb="FF323232"/>
      </left>
      <right/>
      <top style="medium">
        <color rgb="FF323232"/>
      </top>
      <bottom/>
      <diagonal/>
    </border>
    <border>
      <left/>
      <right style="thin">
        <color theme="1" tint="0.14996795556505021"/>
      </right>
      <top/>
      <bottom style="thin">
        <color theme="1" tint="4.9989318521683403E-2"/>
      </bottom>
      <diagonal/>
    </border>
    <border>
      <left/>
      <right style="thin">
        <color theme="1" tint="0.14996795556505021"/>
      </right>
      <top style="thin">
        <color theme="1" tint="4.9989318521683403E-2"/>
      </top>
      <bottom style="thin">
        <color theme="1" tint="4.9989318521683403E-2"/>
      </bottom>
      <diagonal/>
    </border>
    <border>
      <left style="thin">
        <color theme="1" tint="4.9989318521683403E-2"/>
      </left>
      <right/>
      <top/>
      <bottom style="thin">
        <color theme="1" tint="4.9989318521683403E-2"/>
      </bottom>
      <diagonal/>
    </border>
    <border>
      <left style="thin">
        <color theme="1" tint="4.9989318521683403E-2"/>
      </left>
      <right/>
      <top style="thin">
        <color theme="1" tint="4.9989318521683403E-2"/>
      </top>
      <bottom style="thin">
        <color theme="1" tint="4.9989318521683403E-2"/>
      </bottom>
      <diagonal/>
    </border>
    <border>
      <left/>
      <right style="thin">
        <color theme="1" tint="4.9989318521683403E-2"/>
      </right>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bottom style="thin">
        <color theme="1" tint="4.9989318521683403E-2"/>
      </bottom>
      <diagonal/>
    </border>
    <border>
      <left/>
      <right style="medium">
        <color theme="1" tint="4.9989318521683403E-2"/>
      </right>
      <top/>
      <bottom/>
      <diagonal/>
    </border>
    <border>
      <left style="medium">
        <color theme="1" tint="4.9989318521683403E-2"/>
      </left>
      <right style="medium">
        <color theme="1" tint="4.9989318521683403E-2"/>
      </right>
      <top/>
      <bottom/>
      <diagonal/>
    </border>
    <border>
      <left style="medium">
        <color theme="1" tint="4.9989318521683403E-2"/>
      </left>
      <right/>
      <top/>
      <bottom/>
      <diagonal/>
    </border>
    <border>
      <left/>
      <right style="thin">
        <color theme="1" tint="4.9989318521683403E-2"/>
      </right>
      <top style="thin">
        <color theme="1" tint="0.34998626667073579"/>
      </top>
      <bottom style="thin">
        <color theme="1" tint="4.9989318521683403E-2"/>
      </bottom>
      <diagonal/>
    </border>
    <border>
      <left style="thin">
        <color theme="1" tint="4.9989318521683403E-2"/>
      </left>
      <right style="thin">
        <color theme="1" tint="4.9989318521683403E-2"/>
      </right>
      <top style="thin">
        <color theme="1" tint="0.34998626667073579"/>
      </top>
      <bottom style="thin">
        <color theme="1" tint="4.9989318521683403E-2"/>
      </bottom>
      <diagonal/>
    </border>
    <border>
      <left style="thin">
        <color theme="1" tint="4.9989318521683403E-2"/>
      </left>
      <right/>
      <top style="thin">
        <color theme="1" tint="0.34998626667073579"/>
      </top>
      <bottom style="thin">
        <color theme="1" tint="4.9989318521683403E-2"/>
      </bottom>
      <diagonal/>
    </border>
    <border>
      <left/>
      <right/>
      <top style="thin">
        <color theme="1" tint="4.9989318521683403E-2"/>
      </top>
      <bottom style="thin">
        <color theme="1" tint="0.14996795556505021"/>
      </bottom>
      <diagonal/>
    </border>
    <border>
      <left/>
      <right style="thin">
        <color theme="1" tint="0.14996795556505021"/>
      </right>
      <top style="thin">
        <color theme="1" tint="0.14996795556505021"/>
      </top>
      <bottom/>
      <diagonal/>
    </border>
    <border>
      <left/>
      <right style="thin">
        <color theme="1" tint="0.14996795556505021"/>
      </right>
      <top/>
      <bottom style="thin">
        <color theme="1" tint="0.14996795556505021"/>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style="thin">
        <color theme="1" tint="0.24994659260841701"/>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1" tint="0.24994659260841701"/>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143" fillId="0" borderId="0"/>
    <xf numFmtId="43" fontId="143" fillId="0" borderId="0"/>
    <xf numFmtId="0" fontId="143" fillId="0" borderId="0"/>
  </cellStyleXfs>
  <cellXfs count="719">
    <xf numFmtId="0" fontId="0" fillId="0" borderId="0" xfId="0"/>
    <xf numFmtId="0" fontId="2" fillId="2" borderId="0" xfId="0" applyFont="1" applyFill="1"/>
    <xf numFmtId="0" fontId="2" fillId="0" borderId="0" xfId="0" applyFont="1"/>
    <xf numFmtId="0" fontId="2" fillId="0" borderId="0" xfId="0" applyFont="1" applyFill="1"/>
    <xf numFmtId="14" fontId="2" fillId="0" borderId="0" xfId="0" applyNumberFormat="1" applyFont="1"/>
    <xf numFmtId="0" fontId="2" fillId="0" borderId="0" xfId="1" applyNumberFormat="1" applyFont="1"/>
    <xf numFmtId="0" fontId="8" fillId="0" borderId="1" xfId="0" applyFont="1" applyBorder="1" applyAlignment="1">
      <alignment vertical="center" wrapText="1"/>
    </xf>
    <xf numFmtId="3" fontId="8" fillId="0" borderId="1" xfId="0" applyNumberFormat="1" applyFont="1" applyBorder="1" applyAlignment="1">
      <alignment vertical="center" wrapText="1"/>
    </xf>
    <xf numFmtId="0" fontId="2" fillId="8" borderId="0" xfId="0" applyFont="1" applyFill="1" applyBorder="1"/>
    <xf numFmtId="14" fontId="5" fillId="8" borderId="0" xfId="0" applyNumberFormat="1" applyFont="1" applyFill="1" applyBorder="1" applyAlignment="1">
      <alignment vertical="center"/>
    </xf>
    <xf numFmtId="0" fontId="21" fillId="0" borderId="0" xfId="0" applyFont="1"/>
    <xf numFmtId="0" fontId="21" fillId="8" borderId="0" xfId="0" applyFont="1" applyFill="1" applyBorder="1"/>
    <xf numFmtId="0" fontId="21" fillId="0" borderId="0" xfId="0" applyFont="1" applyFill="1"/>
    <xf numFmtId="0" fontId="38" fillId="8" borderId="2" xfId="0" applyFont="1" applyFill="1" applyBorder="1" applyAlignment="1">
      <alignment horizontal="center" vertical="center"/>
    </xf>
    <xf numFmtId="14" fontId="38" fillId="8" borderId="2" xfId="0" applyNumberFormat="1" applyFont="1" applyFill="1" applyBorder="1" applyAlignment="1">
      <alignment horizontal="center" vertical="center" wrapText="1"/>
    </xf>
    <xf numFmtId="14" fontId="38" fillId="8" borderId="2" xfId="0" applyNumberFormat="1" applyFont="1" applyFill="1" applyBorder="1" applyAlignment="1">
      <alignment horizontal="center" vertical="center"/>
    </xf>
    <xf numFmtId="9" fontId="21" fillId="0" borderId="0" xfId="2" applyFont="1"/>
    <xf numFmtId="43" fontId="21" fillId="0" borderId="0" xfId="0" applyNumberFormat="1" applyFont="1"/>
    <xf numFmtId="10" fontId="21" fillId="0" borderId="0" xfId="2" applyNumberFormat="1" applyFont="1" applyAlignment="1">
      <alignment horizontal="center"/>
    </xf>
    <xf numFmtId="14" fontId="2" fillId="11" borderId="0" xfId="0" applyNumberFormat="1" applyFont="1" applyFill="1"/>
    <xf numFmtId="0" fontId="9" fillId="11" borderId="0" xfId="0" applyFont="1" applyFill="1" applyBorder="1" applyAlignment="1"/>
    <xf numFmtId="0" fontId="9" fillId="11" borderId="0" xfId="0" applyFont="1" applyFill="1" applyBorder="1" applyAlignment="1">
      <alignment horizontal="right"/>
    </xf>
    <xf numFmtId="14" fontId="47" fillId="11" borderId="0" xfId="0" applyNumberFormat="1" applyFont="1" applyFill="1"/>
    <xf numFmtId="0" fontId="12" fillId="11" borderId="0" xfId="0" applyFont="1" applyFill="1" applyAlignment="1" applyProtection="1">
      <alignment horizontal="center"/>
      <protection hidden="1"/>
    </xf>
    <xf numFmtId="3" fontId="12" fillId="11" borderId="0" xfId="1" applyNumberFormat="1" applyFont="1" applyFill="1" applyAlignment="1" applyProtection="1">
      <alignment horizontal="center"/>
      <protection hidden="1"/>
    </xf>
    <xf numFmtId="166" fontId="49" fillId="11" borderId="0" xfId="1" applyNumberFormat="1" applyFont="1" applyFill="1" applyAlignment="1" applyProtection="1">
      <alignment horizontal="center"/>
      <protection hidden="1"/>
    </xf>
    <xf numFmtId="171" fontId="49" fillId="11" borderId="0" xfId="1" applyNumberFormat="1" applyFont="1" applyFill="1" applyAlignment="1" applyProtection="1">
      <alignment horizontal="center"/>
      <protection hidden="1"/>
    </xf>
    <xf numFmtId="10" fontId="18" fillId="11" borderId="0" xfId="2" applyNumberFormat="1" applyFont="1" applyFill="1" applyAlignment="1" applyProtection="1">
      <alignment horizontal="center"/>
      <protection hidden="1"/>
    </xf>
    <xf numFmtId="0" fontId="3" fillId="11" borderId="0" xfId="3" applyFont="1" applyFill="1" applyAlignment="1">
      <alignment horizontal="center"/>
    </xf>
    <xf numFmtId="0" fontId="2" fillId="11" borderId="0" xfId="0" applyFont="1" applyFill="1"/>
    <xf numFmtId="0" fontId="0" fillId="11" borderId="0" xfId="0" applyFill="1"/>
    <xf numFmtId="0" fontId="13" fillId="11" borderId="3" xfId="0" applyFont="1" applyFill="1" applyBorder="1" applyAlignment="1">
      <alignment horizontal="center"/>
    </xf>
    <xf numFmtId="0" fontId="13" fillId="11" borderId="2" xfId="0" applyFont="1" applyFill="1" applyBorder="1" applyAlignment="1">
      <alignment horizontal="center"/>
    </xf>
    <xf numFmtId="0" fontId="13" fillId="11" borderId="4" xfId="1" applyNumberFormat="1" applyFont="1" applyFill="1" applyBorder="1" applyAlignment="1"/>
    <xf numFmtId="0" fontId="13" fillId="11" borderId="2" xfId="1" applyNumberFormat="1" applyFont="1" applyFill="1" applyBorder="1" applyAlignment="1">
      <alignment horizontal="center"/>
    </xf>
    <xf numFmtId="0" fontId="13" fillId="11" borderId="2" xfId="0" applyFont="1" applyFill="1" applyBorder="1" applyAlignment="1">
      <alignment horizontal="center" vertical="center"/>
    </xf>
    <xf numFmtId="2" fontId="11" fillId="11" borderId="0" xfId="0" applyNumberFormat="1" applyFont="1" applyFill="1" applyAlignment="1" applyProtection="1">
      <alignment horizontal="right"/>
      <protection hidden="1"/>
    </xf>
    <xf numFmtId="0" fontId="3" fillId="11" borderId="0" xfId="0" applyFont="1" applyFill="1"/>
    <xf numFmtId="0" fontId="21" fillId="11" borderId="0" xfId="0" applyFont="1" applyFill="1"/>
    <xf numFmtId="14" fontId="21" fillId="11" borderId="0" xfId="0" applyNumberFormat="1" applyFont="1" applyFill="1"/>
    <xf numFmtId="0" fontId="24" fillId="11" borderId="0" xfId="0" applyFont="1" applyFill="1"/>
    <xf numFmtId="0" fontId="25" fillId="11" borderId="0" xfId="3" applyFont="1" applyFill="1" applyAlignment="1">
      <alignment horizontal="left" vertical="top"/>
    </xf>
    <xf numFmtId="14" fontId="21" fillId="11" borderId="0" xfId="0" applyNumberFormat="1" applyFont="1" applyFill="1" applyAlignment="1">
      <alignment horizontal="right"/>
    </xf>
    <xf numFmtId="0" fontId="28" fillId="11" borderId="0" xfId="0" applyFont="1" applyFill="1"/>
    <xf numFmtId="14" fontId="28" fillId="11" borderId="0" xfId="0" applyNumberFormat="1" applyFont="1" applyFill="1"/>
    <xf numFmtId="43" fontId="55" fillId="11" borderId="0" xfId="1" applyFont="1" applyFill="1" applyBorder="1" applyAlignment="1" applyProtection="1">
      <alignment horizontal="center" vertical="center"/>
    </xf>
    <xf numFmtId="164" fontId="27" fillId="11" borderId="0" xfId="1" applyNumberFormat="1" applyFont="1" applyFill="1" applyBorder="1" applyAlignment="1">
      <alignment horizontal="center" vertical="center"/>
    </xf>
    <xf numFmtId="164" fontId="46" fillId="11" borderId="0" xfId="1" applyNumberFormat="1" applyFont="1" applyFill="1" applyBorder="1" applyAlignment="1">
      <alignment horizontal="center" vertical="center"/>
    </xf>
    <xf numFmtId="0" fontId="32" fillId="11" borderId="0" xfId="0" applyFont="1" applyFill="1" applyAlignment="1">
      <alignment horizontal="center"/>
    </xf>
    <xf numFmtId="43" fontId="29" fillId="11" borderId="0" xfId="1" applyFont="1" applyFill="1" applyProtection="1">
      <protection hidden="1"/>
    </xf>
    <xf numFmtId="0" fontId="33" fillId="11" borderId="0" xfId="3" applyFont="1" applyFill="1" applyAlignment="1">
      <alignment vertical="center"/>
    </xf>
    <xf numFmtId="0" fontId="21" fillId="11" borderId="0" xfId="0" applyFont="1" applyFill="1" applyBorder="1"/>
    <xf numFmtId="0" fontId="39" fillId="11" borderId="0" xfId="0" applyFont="1" applyFill="1" applyBorder="1" applyAlignment="1">
      <alignment horizontal="right"/>
    </xf>
    <xf numFmtId="43" fontId="21" fillId="11" borderId="0" xfId="1" applyFont="1" applyFill="1" applyBorder="1"/>
    <xf numFmtId="43" fontId="21" fillId="11" borderId="0" xfId="2" applyNumberFormat="1" applyFont="1" applyFill="1"/>
    <xf numFmtId="0" fontId="39" fillId="11" borderId="0" xfId="1" applyNumberFormat="1" applyFont="1" applyFill="1" applyBorder="1" applyAlignment="1">
      <alignment horizontal="right" vertical="center"/>
    </xf>
    <xf numFmtId="43" fontId="21" fillId="11" borderId="0" xfId="0" applyNumberFormat="1" applyFont="1" applyFill="1"/>
    <xf numFmtId="9" fontId="39" fillId="11" borderId="0" xfId="2" applyFont="1" applyFill="1" applyBorder="1" applyAlignment="1">
      <alignment horizontal="right"/>
    </xf>
    <xf numFmtId="10" fontId="21" fillId="11" borderId="0" xfId="2" applyNumberFormat="1" applyFont="1" applyFill="1"/>
    <xf numFmtId="0" fontId="21" fillId="11" borderId="0" xfId="0" applyFont="1" applyFill="1" applyAlignment="1">
      <alignment horizontal="center" vertical="center"/>
    </xf>
    <xf numFmtId="0" fontId="59" fillId="11" borderId="0" xfId="0" applyFont="1" applyFill="1"/>
    <xf numFmtId="0" fontId="60" fillId="0" borderId="0" xfId="0" applyFont="1" applyAlignment="1">
      <alignment vertical="center"/>
    </xf>
    <xf numFmtId="0" fontId="61" fillId="0" borderId="0" xfId="0" applyFont="1"/>
    <xf numFmtId="43" fontId="63" fillId="4" borderId="0" xfId="1" applyFont="1" applyFill="1" applyBorder="1" applyAlignment="1">
      <alignment horizontal="left" vertical="center"/>
    </xf>
    <xf numFmtId="0" fontId="64" fillId="0" borderId="0" xfId="3" applyFont="1" applyAlignment="1">
      <alignment vertical="center"/>
    </xf>
    <xf numFmtId="0" fontId="60" fillId="7" borderId="0" xfId="0" applyFont="1" applyFill="1" applyAlignment="1">
      <alignment vertical="center"/>
    </xf>
    <xf numFmtId="0" fontId="61" fillId="3" borderId="0" xfId="0" applyFont="1" applyFill="1"/>
    <xf numFmtId="0" fontId="2" fillId="11" borderId="0" xfId="0" applyFont="1" applyFill="1" applyBorder="1"/>
    <xf numFmtId="9" fontId="2" fillId="11" borderId="0" xfId="2" applyFont="1" applyFill="1" applyBorder="1"/>
    <xf numFmtId="0" fontId="7" fillId="11" borderId="0" xfId="0" applyFont="1" applyFill="1"/>
    <xf numFmtId="0" fontId="7" fillId="11" borderId="0" xfId="0" applyFont="1" applyFill="1" applyBorder="1"/>
    <xf numFmtId="0" fontId="66" fillId="11" borderId="0" xfId="0" applyFont="1" applyFill="1"/>
    <xf numFmtId="10" fontId="69" fillId="11" borderId="0" xfId="2" applyNumberFormat="1" applyFont="1" applyFill="1" applyBorder="1" applyAlignment="1">
      <alignment vertical="center" wrapText="1"/>
    </xf>
    <xf numFmtId="10" fontId="7" fillId="11" borderId="0" xfId="2" applyNumberFormat="1" applyFont="1" applyFill="1" applyAlignment="1">
      <alignment horizontal="center"/>
    </xf>
    <xf numFmtId="0" fontId="21" fillId="12" borderId="0" xfId="0" applyFont="1" applyFill="1"/>
    <xf numFmtId="9" fontId="67" fillId="12" borderId="0" xfId="2" applyFont="1" applyFill="1" applyAlignment="1">
      <alignment horizontal="center"/>
    </xf>
    <xf numFmtId="9" fontId="21" fillId="12" borderId="0" xfId="2" applyFont="1" applyFill="1"/>
    <xf numFmtId="43" fontId="69" fillId="11" borderId="0" xfId="1" applyFont="1" applyFill="1" applyBorder="1" applyAlignment="1">
      <alignment vertical="center" wrapText="1"/>
    </xf>
    <xf numFmtId="3" fontId="56" fillId="11" borderId="0" xfId="1" applyNumberFormat="1" applyFont="1" applyFill="1" applyBorder="1" applyAlignment="1">
      <alignment horizontal="center"/>
    </xf>
    <xf numFmtId="9" fontId="37" fillId="11" borderId="19" xfId="2" applyFont="1" applyFill="1" applyBorder="1" applyAlignment="1" applyProtection="1">
      <alignment horizontal="center" vertical="center"/>
    </xf>
    <xf numFmtId="0" fontId="21" fillId="8" borderId="0" xfId="0" applyFont="1" applyFill="1" applyBorder="1" applyAlignment="1">
      <alignment horizontal="center"/>
    </xf>
    <xf numFmtId="0" fontId="61" fillId="11" borderId="0" xfId="0" applyFont="1" applyFill="1"/>
    <xf numFmtId="0" fontId="60" fillId="11" borderId="0" xfId="0" applyFont="1" applyFill="1" applyAlignment="1">
      <alignment vertical="center"/>
    </xf>
    <xf numFmtId="0" fontId="77" fillId="11" borderId="0" xfId="0" applyFont="1" applyFill="1"/>
    <xf numFmtId="4" fontId="65" fillId="8" borderId="20" xfId="0" applyNumberFormat="1" applyFont="1" applyFill="1" applyBorder="1" applyAlignment="1" applyProtection="1">
      <alignment horizontal="center"/>
      <protection hidden="1"/>
    </xf>
    <xf numFmtId="4" fontId="65" fillId="8" borderId="21" xfId="0" applyNumberFormat="1" applyFont="1" applyFill="1" applyBorder="1" applyAlignment="1" applyProtection="1">
      <alignment horizontal="center"/>
      <protection hidden="1"/>
    </xf>
    <xf numFmtId="167" fontId="65" fillId="8" borderId="21" xfId="0" applyNumberFormat="1" applyFont="1" applyFill="1" applyBorder="1" applyAlignment="1" applyProtection="1">
      <alignment horizontal="center"/>
      <protection hidden="1"/>
    </xf>
    <xf numFmtId="168" fontId="65" fillId="8" borderId="21" xfId="0" applyNumberFormat="1" applyFont="1" applyFill="1" applyBorder="1" applyAlignment="1" applyProtection="1">
      <alignment horizontal="center"/>
      <protection hidden="1"/>
    </xf>
    <xf numFmtId="168" fontId="65" fillId="8" borderId="22" xfId="0" applyNumberFormat="1" applyFont="1" applyFill="1" applyBorder="1" applyAlignment="1" applyProtection="1">
      <alignment horizontal="center"/>
      <protection hidden="1"/>
    </xf>
    <xf numFmtId="4" fontId="65" fillId="8" borderId="23" xfId="0" applyNumberFormat="1" applyFont="1" applyFill="1" applyBorder="1" applyAlignment="1" applyProtection="1">
      <alignment horizontal="center"/>
      <protection hidden="1"/>
    </xf>
    <xf numFmtId="4" fontId="65" fillId="8" borderId="24" xfId="0" applyNumberFormat="1" applyFont="1" applyFill="1" applyBorder="1" applyAlignment="1" applyProtection="1">
      <alignment horizontal="center"/>
      <protection hidden="1"/>
    </xf>
    <xf numFmtId="167" fontId="65" fillId="8" borderId="24" xfId="0" applyNumberFormat="1" applyFont="1" applyFill="1" applyBorder="1" applyAlignment="1" applyProtection="1">
      <alignment horizontal="center"/>
      <protection hidden="1"/>
    </xf>
    <xf numFmtId="168" fontId="65" fillId="8" borderId="24" xfId="0" applyNumberFormat="1" applyFont="1" applyFill="1" applyBorder="1" applyAlignment="1" applyProtection="1">
      <alignment horizontal="center"/>
      <protection hidden="1"/>
    </xf>
    <xf numFmtId="168" fontId="65" fillId="8" borderId="25" xfId="0" applyNumberFormat="1" applyFont="1" applyFill="1" applyBorder="1" applyAlignment="1" applyProtection="1">
      <alignment horizontal="center"/>
      <protection hidden="1"/>
    </xf>
    <xf numFmtId="169" fontId="65" fillId="8" borderId="25" xfId="0" applyNumberFormat="1" applyFont="1" applyFill="1" applyBorder="1" applyAlignment="1" applyProtection="1">
      <alignment horizontal="center"/>
      <protection hidden="1"/>
    </xf>
    <xf numFmtId="4" fontId="65" fillId="8" borderId="26" xfId="0" applyNumberFormat="1" applyFont="1" applyFill="1" applyBorder="1" applyAlignment="1" applyProtection="1">
      <alignment horizontal="center"/>
      <protection hidden="1"/>
    </xf>
    <xf numFmtId="4" fontId="65" fillId="8" borderId="27" xfId="0" applyNumberFormat="1" applyFont="1" applyFill="1" applyBorder="1" applyAlignment="1" applyProtection="1">
      <alignment horizontal="center"/>
      <protection hidden="1"/>
    </xf>
    <xf numFmtId="167" fontId="65" fillId="8" borderId="27" xfId="0" applyNumberFormat="1" applyFont="1" applyFill="1" applyBorder="1" applyAlignment="1" applyProtection="1">
      <alignment horizontal="center"/>
      <protection hidden="1"/>
    </xf>
    <xf numFmtId="168" fontId="65" fillId="8" borderId="27" xfId="0" applyNumberFormat="1" applyFont="1" applyFill="1" applyBorder="1" applyAlignment="1" applyProtection="1">
      <alignment horizontal="center"/>
      <protection hidden="1"/>
    </xf>
    <xf numFmtId="168" fontId="65" fillId="8" borderId="28" xfId="0" applyNumberFormat="1" applyFont="1" applyFill="1" applyBorder="1" applyAlignment="1" applyProtection="1">
      <alignment horizontal="center"/>
      <protection hidden="1"/>
    </xf>
    <xf numFmtId="0" fontId="61" fillId="10" borderId="0" xfId="0" applyFont="1" applyFill="1"/>
    <xf numFmtId="0" fontId="62" fillId="11" borderId="16" xfId="0" applyFont="1" applyFill="1" applyBorder="1" applyAlignment="1">
      <alignment horizontal="center" vertical="center" wrapText="1"/>
    </xf>
    <xf numFmtId="0" fontId="62" fillId="11" borderId="17" xfId="0" applyFont="1" applyFill="1" applyBorder="1" applyAlignment="1">
      <alignment horizontal="center" vertical="center" wrapText="1"/>
    </xf>
    <xf numFmtId="0" fontId="62" fillId="11" borderId="18" xfId="0" applyFont="1" applyFill="1" applyBorder="1" applyAlignment="1">
      <alignment horizontal="center" vertical="center" wrapText="1"/>
    </xf>
    <xf numFmtId="4" fontId="72" fillId="11" borderId="0" xfId="1" applyNumberFormat="1" applyFont="1" applyFill="1" applyAlignment="1" applyProtection="1">
      <alignment horizontal="center"/>
      <protection hidden="1"/>
    </xf>
    <xf numFmtId="10" fontId="72" fillId="11" borderId="0" xfId="2" applyNumberFormat="1" applyFont="1" applyFill="1" applyAlignment="1" applyProtection="1">
      <alignment horizontal="center"/>
      <protection hidden="1"/>
    </xf>
    <xf numFmtId="10" fontId="73" fillId="11" borderId="0" xfId="2" applyNumberFormat="1" applyFont="1" applyFill="1" applyAlignment="1" applyProtection="1">
      <alignment horizontal="center"/>
      <protection hidden="1"/>
    </xf>
    <xf numFmtId="0" fontId="79" fillId="11" borderId="0" xfId="0" applyFont="1" applyFill="1" applyAlignment="1">
      <alignment vertical="center" wrapText="1"/>
    </xf>
    <xf numFmtId="0" fontId="77" fillId="11" borderId="0" xfId="0" applyFont="1" applyFill="1" applyAlignment="1"/>
    <xf numFmtId="0" fontId="80" fillId="11" borderId="0" xfId="0" applyFont="1" applyFill="1" applyAlignment="1"/>
    <xf numFmtId="0" fontId="80" fillId="11" borderId="0" xfId="0" applyFont="1" applyFill="1" applyAlignment="1">
      <alignment horizontal="right"/>
    </xf>
    <xf numFmtId="0" fontId="81" fillId="12" borderId="0" xfId="0" applyFont="1" applyFill="1" applyAlignment="1">
      <alignment horizontal="center"/>
    </xf>
    <xf numFmtId="166" fontId="82" fillId="11" borderId="0" xfId="1" applyNumberFormat="1" applyFont="1" applyFill="1" applyAlignment="1" applyProtection="1">
      <alignment horizontal="center"/>
      <protection hidden="1"/>
    </xf>
    <xf numFmtId="10" fontId="61" fillId="0" borderId="0" xfId="2" applyNumberFormat="1" applyFont="1"/>
    <xf numFmtId="43" fontId="61" fillId="0" borderId="0" xfId="1" applyFont="1"/>
    <xf numFmtId="43" fontId="61" fillId="0" borderId="0" xfId="0" applyNumberFormat="1" applyFont="1"/>
    <xf numFmtId="10" fontId="12" fillId="11" borderId="0" xfId="2" applyNumberFormat="1" applyFont="1" applyFill="1" applyBorder="1" applyAlignment="1">
      <alignment vertical="center"/>
    </xf>
    <xf numFmtId="2" fontId="59" fillId="11" borderId="0" xfId="0" applyNumberFormat="1" applyFont="1" applyFill="1" applyAlignment="1" applyProtection="1">
      <alignment horizontal="right"/>
      <protection hidden="1"/>
    </xf>
    <xf numFmtId="0" fontId="84" fillId="0" borderId="0" xfId="0" applyFont="1"/>
    <xf numFmtId="0" fontId="85" fillId="0" borderId="0" xfId="1" applyNumberFormat="1" applyFont="1"/>
    <xf numFmtId="0" fontId="88" fillId="0" borderId="0" xfId="0" applyFont="1"/>
    <xf numFmtId="43" fontId="14" fillId="11" borderId="0" xfId="1" applyFont="1" applyFill="1"/>
    <xf numFmtId="0" fontId="9" fillId="11" borderId="0" xfId="0" applyFont="1" applyFill="1"/>
    <xf numFmtId="0" fontId="92" fillId="0" borderId="0" xfId="0" applyFont="1"/>
    <xf numFmtId="0" fontId="93" fillId="0" borderId="0" xfId="3" applyFont="1"/>
    <xf numFmtId="0" fontId="85" fillId="0" borderId="0" xfId="0" applyFont="1"/>
    <xf numFmtId="0" fontId="92" fillId="0" borderId="0" xfId="0" applyFont="1" applyAlignment="1">
      <alignment vertical="center"/>
    </xf>
    <xf numFmtId="0" fontId="95" fillId="0" borderId="0" xfId="0" applyFont="1" applyAlignment="1">
      <alignment wrapText="1"/>
    </xf>
    <xf numFmtId="0" fontId="97" fillId="0" borderId="0" xfId="0" applyFont="1" applyAlignment="1">
      <alignment horizontal="left" wrapText="1"/>
    </xf>
    <xf numFmtId="0" fontId="97" fillId="0" borderId="0" xfId="0" applyFont="1" applyAlignment="1">
      <alignment wrapText="1"/>
    </xf>
    <xf numFmtId="0" fontId="97" fillId="0" borderId="0" xfId="0" applyFont="1" applyAlignment="1">
      <alignment vertical="center" wrapText="1"/>
    </xf>
    <xf numFmtId="4" fontId="98" fillId="11" borderId="0" xfId="1" applyNumberFormat="1" applyFont="1" applyFill="1" applyAlignment="1" applyProtection="1">
      <alignment horizontal="center"/>
      <protection hidden="1"/>
    </xf>
    <xf numFmtId="0" fontId="79" fillId="11" borderId="0" xfId="0" applyFont="1" applyFill="1" applyAlignment="1">
      <alignment vertical="center"/>
    </xf>
    <xf numFmtId="0" fontId="42" fillId="11" borderId="0" xfId="0" applyFont="1" applyFill="1" applyAlignment="1">
      <alignment vertical="center"/>
    </xf>
    <xf numFmtId="0" fontId="111" fillId="11" borderId="0" xfId="1" applyNumberFormat="1" applyFont="1" applyFill="1" applyAlignment="1">
      <alignment vertical="center"/>
    </xf>
    <xf numFmtId="0" fontId="43" fillId="11" borderId="0" xfId="0" applyFont="1" applyFill="1" applyAlignment="1">
      <alignment vertical="center"/>
    </xf>
    <xf numFmtId="14" fontId="45" fillId="11" borderId="0" xfId="0" applyNumberFormat="1" applyFont="1" applyFill="1" applyAlignment="1">
      <alignment vertical="top"/>
    </xf>
    <xf numFmtId="0" fontId="113" fillId="11" borderId="0" xfId="0" applyFont="1" applyFill="1" applyAlignment="1">
      <alignment horizontal="right"/>
    </xf>
    <xf numFmtId="0" fontId="114" fillId="11" borderId="0" xfId="0" applyFont="1" applyFill="1" applyAlignment="1" applyProtection="1">
      <alignment horizontal="right"/>
      <protection hidden="1"/>
    </xf>
    <xf numFmtId="0" fontId="96" fillId="0" borderId="0" xfId="0" applyFont="1" applyAlignment="1"/>
    <xf numFmtId="0" fontId="97" fillId="0" borderId="0" xfId="0" applyFont="1"/>
    <xf numFmtId="0" fontId="2" fillId="6" borderId="0" xfId="0" applyFont="1" applyFill="1"/>
    <xf numFmtId="43" fontId="97" fillId="0" borderId="0" xfId="1" applyFont="1"/>
    <xf numFmtId="0" fontId="116" fillId="0" borderId="0" xfId="0" applyFont="1"/>
    <xf numFmtId="0" fontId="91" fillId="11" borderId="0" xfId="0" applyFont="1" applyFill="1" applyAlignment="1">
      <alignment horizontal="center" vertical="center"/>
    </xf>
    <xf numFmtId="9" fontId="90" fillId="11" borderId="0" xfId="2" applyFont="1" applyFill="1" applyBorder="1" applyAlignment="1">
      <alignment horizontal="center"/>
    </xf>
    <xf numFmtId="0" fontId="14" fillId="11" borderId="0" xfId="0" applyFont="1" applyFill="1"/>
    <xf numFmtId="0" fontId="118" fillId="11" borderId="0" xfId="0" applyNumberFormat="1" applyFont="1" applyFill="1" applyBorder="1" applyAlignment="1">
      <alignment wrapText="1"/>
    </xf>
    <xf numFmtId="0" fontId="62" fillId="11" borderId="0" xfId="1" applyNumberFormat="1" applyFont="1" applyFill="1" applyBorder="1" applyAlignment="1">
      <alignment horizontal="left" wrapText="1"/>
    </xf>
    <xf numFmtId="43" fontId="62" fillId="11" borderId="0" xfId="1" applyFont="1" applyFill="1" applyBorder="1" applyAlignment="1">
      <alignment horizontal="center" vertical="center" wrapText="1"/>
    </xf>
    <xf numFmtId="0" fontId="32" fillId="11" borderId="0" xfId="1" applyNumberFormat="1" applyFont="1" applyFill="1" applyBorder="1" applyAlignment="1">
      <alignment horizontal="center" vertical="center"/>
    </xf>
    <xf numFmtId="0" fontId="9" fillId="11" borderId="0" xfId="0" applyFont="1" applyFill="1" applyBorder="1"/>
    <xf numFmtId="9" fontId="9" fillId="11" borderId="0" xfId="2" applyFont="1" applyFill="1" applyBorder="1"/>
    <xf numFmtId="0" fontId="9" fillId="11" borderId="0" xfId="0" applyFont="1" applyFill="1" applyBorder="1" applyAlignment="1">
      <alignment horizontal="left"/>
    </xf>
    <xf numFmtId="0" fontId="0" fillId="11" borderId="0" xfId="0" applyFill="1" applyBorder="1"/>
    <xf numFmtId="0" fontId="0" fillId="11" borderId="0" xfId="0" applyFill="1" applyAlignment="1">
      <alignment horizontal="center"/>
    </xf>
    <xf numFmtId="0" fontId="117" fillId="11" borderId="0" xfId="0" applyFont="1" applyFill="1" applyAlignment="1" applyProtection="1">
      <alignment vertical="center" wrapText="1"/>
      <protection hidden="1"/>
    </xf>
    <xf numFmtId="2" fontId="59" fillId="11" borderId="0" xfId="1" applyNumberFormat="1" applyFont="1" applyFill="1" applyAlignment="1">
      <alignment horizontal="center"/>
    </xf>
    <xf numFmtId="0" fontId="13" fillId="11" borderId="0" xfId="0" applyFont="1" applyFill="1" applyAlignment="1">
      <alignment horizontal="center"/>
    </xf>
    <xf numFmtId="0" fontId="13" fillId="11" borderId="0" xfId="0" applyFont="1" applyFill="1"/>
    <xf numFmtId="0" fontId="83" fillId="11" borderId="0" xfId="0" applyFont="1" applyFill="1" applyAlignment="1" applyProtection="1">
      <alignment vertical="center" wrapText="1"/>
      <protection hidden="1"/>
    </xf>
    <xf numFmtId="4" fontId="120" fillId="11" borderId="0" xfId="1" applyNumberFormat="1" applyFont="1" applyFill="1" applyAlignment="1" applyProtection="1">
      <alignment horizontal="center"/>
      <protection hidden="1"/>
    </xf>
    <xf numFmtId="10" fontId="121" fillId="11" borderId="0" xfId="2" applyNumberFormat="1" applyFont="1" applyFill="1" applyAlignment="1" applyProtection="1">
      <alignment horizontal="center"/>
      <protection hidden="1"/>
    </xf>
    <xf numFmtId="4" fontId="121" fillId="11" borderId="0" xfId="1" applyNumberFormat="1" applyFont="1" applyFill="1" applyAlignment="1" applyProtection="1">
      <alignment horizontal="center"/>
      <protection hidden="1"/>
    </xf>
    <xf numFmtId="10" fontId="122" fillId="11" borderId="0" xfId="2" applyNumberFormat="1" applyFont="1" applyFill="1" applyAlignment="1" applyProtection="1">
      <alignment horizontal="center"/>
      <protection hidden="1"/>
    </xf>
    <xf numFmtId="10" fontId="22" fillId="8" borderId="36" xfId="2" applyNumberFormat="1" applyFont="1" applyFill="1" applyBorder="1" applyAlignment="1">
      <alignment horizontal="center"/>
    </xf>
    <xf numFmtId="4" fontId="18" fillId="11" borderId="19" xfId="1" applyNumberFormat="1" applyFont="1" applyFill="1" applyBorder="1" applyAlignment="1" applyProtection="1">
      <alignment horizontal="center"/>
      <protection hidden="1"/>
    </xf>
    <xf numFmtId="4" fontId="12" fillId="11" borderId="19" xfId="1" applyNumberFormat="1" applyFont="1" applyFill="1" applyBorder="1" applyAlignment="1" applyProtection="1">
      <alignment horizontal="center"/>
      <protection hidden="1"/>
    </xf>
    <xf numFmtId="10" fontId="70" fillId="11" borderId="19" xfId="2" applyNumberFormat="1" applyFont="1" applyFill="1" applyBorder="1" applyAlignment="1" applyProtection="1">
      <alignment horizontal="center"/>
      <protection hidden="1"/>
    </xf>
    <xf numFmtId="0" fontId="124" fillId="11" borderId="0" xfId="0" applyFont="1" applyFill="1" applyAlignment="1">
      <alignment horizontal="right" vertical="center" wrapText="1"/>
    </xf>
    <xf numFmtId="0" fontId="125" fillId="11" borderId="0" xfId="1" applyNumberFormat="1" applyFont="1" applyFill="1" applyBorder="1" applyAlignment="1">
      <alignment vertical="center" wrapText="1"/>
    </xf>
    <xf numFmtId="0" fontId="9" fillId="11" borderId="16" xfId="0" applyFont="1" applyFill="1" applyBorder="1" applyAlignment="1">
      <alignment horizontal="center" vertical="center"/>
    </xf>
    <xf numFmtId="0" fontId="9" fillId="11" borderId="17" xfId="0" applyFont="1" applyFill="1" applyBorder="1" applyAlignment="1">
      <alignment horizontal="center" vertical="center"/>
    </xf>
    <xf numFmtId="0" fontId="9" fillId="11" borderId="18" xfId="0" applyFont="1" applyFill="1" applyBorder="1" applyAlignment="1">
      <alignment horizontal="center" vertical="center"/>
    </xf>
    <xf numFmtId="0" fontId="126" fillId="0" borderId="0" xfId="0" applyFont="1"/>
    <xf numFmtId="43" fontId="62" fillId="11" borderId="0" xfId="1" applyFont="1" applyFill="1" applyBorder="1" applyAlignment="1" applyProtection="1">
      <alignment horizontal="center" vertical="center"/>
      <protection hidden="1"/>
    </xf>
    <xf numFmtId="10" fontId="13" fillId="11" borderId="0" xfId="2" applyNumberFormat="1" applyFont="1" applyFill="1" applyAlignment="1" applyProtection="1">
      <alignment horizontal="center"/>
      <protection hidden="1"/>
    </xf>
    <xf numFmtId="43" fontId="81" fillId="12" borderId="12" xfId="1" applyFont="1" applyFill="1" applyBorder="1" applyProtection="1">
      <protection hidden="1"/>
    </xf>
    <xf numFmtId="4" fontId="30" fillId="12" borderId="12" xfId="0" applyNumberFormat="1" applyFont="1" applyFill="1" applyBorder="1" applyAlignment="1" applyProtection="1">
      <alignment horizontal="right"/>
      <protection hidden="1"/>
    </xf>
    <xf numFmtId="165" fontId="30" fillId="12" borderId="12" xfId="2" applyNumberFormat="1" applyFont="1" applyFill="1" applyBorder="1" applyAlignment="1" applyProtection="1">
      <alignment horizontal="center"/>
      <protection hidden="1"/>
    </xf>
    <xf numFmtId="43" fontId="81" fillId="12" borderId="12" xfId="0" applyNumberFormat="1" applyFont="1" applyFill="1" applyBorder="1" applyProtection="1">
      <protection hidden="1"/>
    </xf>
    <xf numFmtId="10" fontId="81" fillId="12" borderId="12" xfId="2" applyNumberFormat="1" applyFont="1" applyFill="1" applyBorder="1" applyProtection="1">
      <protection hidden="1"/>
    </xf>
    <xf numFmtId="43" fontId="81" fillId="12" borderId="13" xfId="0" applyNumberFormat="1" applyFont="1" applyFill="1" applyBorder="1" applyProtection="1">
      <protection hidden="1"/>
    </xf>
    <xf numFmtId="0" fontId="53" fillId="9" borderId="13" xfId="0" applyFont="1" applyFill="1" applyBorder="1" applyAlignment="1" applyProtection="1">
      <alignment horizontal="center"/>
      <protection hidden="1"/>
    </xf>
    <xf numFmtId="4" fontId="30" fillId="12" borderId="13" xfId="0" applyNumberFormat="1" applyFont="1" applyFill="1" applyBorder="1" applyAlignment="1" applyProtection="1">
      <alignment horizontal="right"/>
      <protection hidden="1"/>
    </xf>
    <xf numFmtId="165" fontId="30" fillId="12" borderId="13" xfId="2" applyNumberFormat="1" applyFont="1" applyFill="1" applyBorder="1" applyAlignment="1" applyProtection="1">
      <alignment horizontal="center"/>
      <protection hidden="1"/>
    </xf>
    <xf numFmtId="10" fontId="81" fillId="12" borderId="13" xfId="2" applyNumberFormat="1" applyFont="1" applyFill="1" applyBorder="1" applyProtection="1">
      <protection hidden="1"/>
    </xf>
    <xf numFmtId="43" fontId="81" fillId="12" borderId="14" xfId="0" applyNumberFormat="1" applyFont="1" applyFill="1" applyBorder="1" applyProtection="1">
      <protection hidden="1"/>
    </xf>
    <xf numFmtId="4" fontId="30" fillId="12" borderId="14" xfId="0" applyNumberFormat="1" applyFont="1" applyFill="1" applyBorder="1" applyAlignment="1" applyProtection="1">
      <alignment horizontal="right"/>
      <protection hidden="1"/>
    </xf>
    <xf numFmtId="165" fontId="30" fillId="12" borderId="14" xfId="2" applyNumberFormat="1" applyFont="1" applyFill="1" applyBorder="1" applyAlignment="1" applyProtection="1">
      <alignment horizontal="center"/>
      <protection hidden="1"/>
    </xf>
    <xf numFmtId="10" fontId="81" fillId="12" borderId="14" xfId="2" applyNumberFormat="1" applyFont="1" applyFill="1" applyBorder="1" applyProtection="1">
      <protection hidden="1"/>
    </xf>
    <xf numFmtId="9" fontId="36" fillId="12" borderId="5" xfId="2" applyFont="1" applyFill="1" applyBorder="1" applyAlignment="1" applyProtection="1">
      <alignment horizontal="center"/>
      <protection hidden="1"/>
    </xf>
    <xf numFmtId="9" fontId="30" fillId="12" borderId="6" xfId="0" applyNumberFormat="1" applyFont="1" applyFill="1" applyBorder="1" applyAlignment="1" applyProtection="1">
      <alignment horizontal="center"/>
      <protection hidden="1"/>
    </xf>
    <xf numFmtId="10" fontId="81" fillId="12" borderId="7" xfId="2" applyNumberFormat="1" applyFont="1" applyFill="1" applyBorder="1" applyAlignment="1" applyProtection="1">
      <alignment horizontal="center"/>
      <protection hidden="1"/>
    </xf>
    <xf numFmtId="9" fontId="36" fillId="12" borderId="8" xfId="2" applyFont="1" applyFill="1" applyBorder="1" applyAlignment="1" applyProtection="1">
      <alignment horizontal="center"/>
      <protection hidden="1"/>
    </xf>
    <xf numFmtId="9" fontId="30" fillId="12" borderId="9" xfId="0" applyNumberFormat="1" applyFont="1" applyFill="1" applyBorder="1" applyAlignment="1" applyProtection="1">
      <alignment horizontal="center"/>
      <protection hidden="1"/>
    </xf>
    <xf numFmtId="10" fontId="30" fillId="12" borderId="9" xfId="0" applyNumberFormat="1" applyFont="1" applyFill="1" applyBorder="1" applyAlignment="1" applyProtection="1">
      <alignment horizontal="center"/>
      <protection hidden="1"/>
    </xf>
    <xf numFmtId="9" fontId="36" fillId="12" borderId="10" xfId="2" applyFont="1" applyFill="1" applyBorder="1" applyAlignment="1" applyProtection="1">
      <alignment horizontal="center"/>
      <protection hidden="1"/>
    </xf>
    <xf numFmtId="10" fontId="30" fillId="12" borderId="11" xfId="0" applyNumberFormat="1" applyFont="1" applyFill="1" applyBorder="1" applyAlignment="1" applyProtection="1">
      <alignment horizontal="center"/>
      <protection hidden="1"/>
    </xf>
    <xf numFmtId="0" fontId="131" fillId="6" borderId="0" xfId="0" applyFont="1" applyFill="1" applyProtection="1">
      <protection hidden="1"/>
    </xf>
    <xf numFmtId="0" fontId="6" fillId="0" borderId="0" xfId="0" applyFont="1"/>
    <xf numFmtId="0" fontId="101" fillId="0" borderId="0" xfId="0" applyFont="1" applyFill="1" applyAlignment="1">
      <alignment vertical="center"/>
    </xf>
    <xf numFmtId="0" fontId="102" fillId="0" borderId="0" xfId="0" applyFont="1" applyFill="1"/>
    <xf numFmtId="0" fontId="103" fillId="0" borderId="0" xfId="0" applyFont="1" applyFill="1" applyAlignment="1">
      <alignment horizontal="left"/>
    </xf>
    <xf numFmtId="0" fontId="102" fillId="0" borderId="0" xfId="0" applyFont="1" applyFill="1" applyAlignment="1"/>
    <xf numFmtId="0" fontId="21" fillId="0" borderId="0" xfId="0" applyFont="1" applyFill="1" applyAlignment="1">
      <alignment horizontal="center"/>
    </xf>
    <xf numFmtId="0" fontId="35" fillId="0" borderId="0" xfId="0" applyFont="1" applyFill="1" applyAlignment="1"/>
    <xf numFmtId="0" fontId="34" fillId="0" borderId="0" xfId="0" applyFont="1" applyFill="1"/>
    <xf numFmtId="0" fontId="106" fillId="0" borderId="0" xfId="0" applyFont="1" applyFill="1"/>
    <xf numFmtId="0" fontId="135" fillId="11" borderId="0" xfId="0" applyFont="1" applyFill="1" applyAlignment="1">
      <alignment horizontal="right"/>
    </xf>
    <xf numFmtId="9" fontId="39" fillId="11" borderId="0" xfId="2" applyFont="1" applyFill="1" applyBorder="1" applyAlignment="1">
      <alignment horizontal="right" vertical="center"/>
    </xf>
    <xf numFmtId="10" fontId="33" fillId="11" borderId="0" xfId="2" applyNumberFormat="1" applyFont="1" applyFill="1" applyBorder="1" applyAlignment="1">
      <alignment horizontal="center"/>
    </xf>
    <xf numFmtId="10" fontId="31" fillId="11" borderId="0" xfId="0" applyNumberFormat="1" applyFont="1" applyFill="1" applyBorder="1"/>
    <xf numFmtId="0" fontId="31" fillId="11" borderId="0" xfId="2" applyNumberFormat="1" applyFont="1" applyFill="1" applyBorder="1"/>
    <xf numFmtId="0" fontId="139" fillId="11" borderId="0" xfId="0" applyFont="1" applyFill="1" applyBorder="1" applyAlignment="1">
      <alignment horizontal="right"/>
    </xf>
    <xf numFmtId="10" fontId="140" fillId="9" borderId="48" xfId="0" applyNumberFormat="1" applyFont="1" applyFill="1" applyBorder="1" applyAlignment="1">
      <alignment horizontal="center"/>
    </xf>
    <xf numFmtId="10" fontId="140" fillId="9" borderId="49" xfId="0" applyNumberFormat="1" applyFont="1" applyFill="1" applyBorder="1" applyAlignment="1">
      <alignment horizontal="center"/>
    </xf>
    <xf numFmtId="10" fontId="76" fillId="8" borderId="50" xfId="0" applyNumberFormat="1" applyFont="1" applyFill="1" applyBorder="1" applyAlignment="1">
      <alignment horizontal="center"/>
    </xf>
    <xf numFmtId="10" fontId="76" fillId="8" borderId="51" xfId="0" applyNumberFormat="1" applyFont="1" applyFill="1" applyBorder="1" applyAlignment="1">
      <alignment horizontal="center"/>
    </xf>
    <xf numFmtId="10" fontId="78" fillId="8" borderId="50" xfId="2" applyNumberFormat="1" applyFont="1" applyFill="1" applyBorder="1" applyAlignment="1">
      <alignment horizontal="center"/>
    </xf>
    <xf numFmtId="10" fontId="78" fillId="8" borderId="51" xfId="2" applyNumberFormat="1" applyFont="1" applyFill="1" applyBorder="1" applyAlignment="1">
      <alignment horizontal="center"/>
    </xf>
    <xf numFmtId="10" fontId="136" fillId="8" borderId="50" xfId="2" applyNumberFormat="1" applyFont="1" applyFill="1" applyBorder="1" applyAlignment="1">
      <alignment horizontal="center"/>
    </xf>
    <xf numFmtId="10" fontId="136" fillId="8" borderId="51" xfId="2" applyNumberFormat="1" applyFont="1" applyFill="1" applyBorder="1" applyAlignment="1">
      <alignment horizontal="center"/>
    </xf>
    <xf numFmtId="9" fontId="136" fillId="11" borderId="0" xfId="2" applyFont="1" applyFill="1" applyBorder="1" applyAlignment="1" applyProtection="1">
      <alignment horizontal="center"/>
      <protection hidden="1"/>
    </xf>
    <xf numFmtId="0" fontId="21" fillId="12" borderId="0" xfId="0" applyFont="1" applyFill="1" applyBorder="1"/>
    <xf numFmtId="1" fontId="56" fillId="11" borderId="0" xfId="1" applyNumberFormat="1" applyFont="1" applyFill="1" applyBorder="1" applyAlignment="1">
      <alignment horizontal="center"/>
    </xf>
    <xf numFmtId="10" fontId="140" fillId="11" borderId="0" xfId="0" applyNumberFormat="1" applyFont="1" applyFill="1" applyBorder="1" applyAlignment="1">
      <alignment horizontal="center"/>
    </xf>
    <xf numFmtId="10" fontId="76" fillId="11" borderId="0" xfId="0" applyNumberFormat="1" applyFont="1" applyFill="1" applyBorder="1" applyAlignment="1">
      <alignment horizontal="center"/>
    </xf>
    <xf numFmtId="10" fontId="78" fillId="11" borderId="0" xfId="2" applyNumberFormat="1" applyFont="1" applyFill="1" applyBorder="1" applyAlignment="1">
      <alignment horizontal="center"/>
    </xf>
    <xf numFmtId="10" fontId="136" fillId="11" borderId="0" xfId="2" applyNumberFormat="1" applyFont="1" applyFill="1" applyBorder="1" applyAlignment="1">
      <alignment horizontal="center"/>
    </xf>
    <xf numFmtId="9" fontId="56" fillId="11" borderId="0" xfId="0" applyNumberFormat="1" applyFont="1" applyFill="1" applyBorder="1" applyAlignment="1">
      <alignment horizontal="center"/>
    </xf>
    <xf numFmtId="9" fontId="52" fillId="11" borderId="0" xfId="2" applyFont="1" applyFill="1" applyBorder="1" applyAlignment="1">
      <alignment horizontal="center" vertical="center"/>
    </xf>
    <xf numFmtId="0" fontId="40" fillId="12" borderId="0" xfId="0" applyFont="1" applyFill="1" applyBorder="1" applyAlignment="1">
      <alignment horizontal="center"/>
    </xf>
    <xf numFmtId="9" fontId="141" fillId="11" borderId="0" xfId="2" applyFont="1" applyFill="1" applyBorder="1" applyAlignment="1">
      <alignment horizontal="right" vertical="center"/>
    </xf>
    <xf numFmtId="0" fontId="81" fillId="12" borderId="0" xfId="0" applyFont="1" applyFill="1" applyBorder="1"/>
    <xf numFmtId="0" fontId="68" fillId="12" borderId="0" xfId="0" applyFont="1" applyFill="1" applyBorder="1" applyAlignment="1">
      <alignment horizontal="center"/>
    </xf>
    <xf numFmtId="9" fontId="68" fillId="12" borderId="0" xfId="2" applyFont="1" applyFill="1" applyBorder="1" applyAlignment="1">
      <alignment horizontal="center"/>
    </xf>
    <xf numFmtId="9" fontId="68" fillId="12" borderId="0" xfId="2" applyFont="1" applyFill="1" applyBorder="1" applyAlignment="1">
      <alignment horizontal="center" vertical="center" wrapText="1"/>
    </xf>
    <xf numFmtId="0" fontId="83" fillId="11" borderId="0" xfId="3" applyFont="1" applyFill="1" applyAlignment="1" applyProtection="1">
      <alignment vertical="center"/>
      <protection hidden="1"/>
    </xf>
    <xf numFmtId="4" fontId="18" fillId="11" borderId="0" xfId="1" applyNumberFormat="1" applyFont="1" applyFill="1" applyAlignment="1" applyProtection="1">
      <alignment horizontal="center"/>
      <protection hidden="1"/>
    </xf>
    <xf numFmtId="43" fontId="23" fillId="11" borderId="0" xfId="1" applyFont="1" applyFill="1" applyAlignment="1" applyProtection="1">
      <alignment horizontal="center"/>
      <protection hidden="1"/>
    </xf>
    <xf numFmtId="0" fontId="135" fillId="11" borderId="0" xfId="0" applyFont="1" applyFill="1" applyBorder="1" applyAlignment="1">
      <alignment horizontal="right"/>
    </xf>
    <xf numFmtId="43" fontId="31" fillId="11" borderId="0" xfId="1" applyFont="1" applyFill="1" applyBorder="1"/>
    <xf numFmtId="0" fontId="145" fillId="16" borderId="0" xfId="5" applyFont="1" applyFill="1" applyBorder="1" applyProtection="1">
      <protection hidden="1"/>
    </xf>
    <xf numFmtId="0" fontId="143" fillId="0" borderId="0" xfId="5" applyFont="1" applyProtection="1">
      <protection hidden="1"/>
    </xf>
    <xf numFmtId="0" fontId="149" fillId="16" borderId="0" xfId="5" applyFont="1" applyFill="1" applyBorder="1" applyAlignment="1" applyProtection="1">
      <alignment vertical="center"/>
      <protection hidden="1"/>
    </xf>
    <xf numFmtId="0" fontId="143" fillId="16" borderId="0" xfId="5" applyFont="1" applyFill="1" applyBorder="1" applyProtection="1">
      <protection hidden="1"/>
    </xf>
    <xf numFmtId="0" fontId="149" fillId="16" borderId="0" xfId="5" applyFont="1" applyFill="1" applyBorder="1" applyProtection="1">
      <protection hidden="1"/>
    </xf>
    <xf numFmtId="0" fontId="143" fillId="0" borderId="0" xfId="5" applyFont="1" applyBorder="1" applyProtection="1">
      <protection hidden="1"/>
    </xf>
    <xf numFmtId="0" fontId="143" fillId="8" borderId="0" xfId="5" applyFont="1" applyFill="1" applyBorder="1" applyProtection="1">
      <protection hidden="1"/>
    </xf>
    <xf numFmtId="0" fontId="0" fillId="0" borderId="0" xfId="0" applyBorder="1"/>
    <xf numFmtId="0" fontId="145" fillId="11" borderId="0" xfId="5" applyFont="1" applyFill="1" applyBorder="1" applyAlignment="1" applyProtection="1">
      <alignment horizontal="center"/>
      <protection hidden="1"/>
    </xf>
    <xf numFmtId="0" fontId="145" fillId="11" borderId="0" xfId="5" applyFont="1" applyFill="1" applyBorder="1" applyProtection="1">
      <protection hidden="1"/>
    </xf>
    <xf numFmtId="0" fontId="145" fillId="11" borderId="0" xfId="5" applyFont="1" applyFill="1" applyProtection="1">
      <protection hidden="1"/>
    </xf>
    <xf numFmtId="10" fontId="146" fillId="11" borderId="0" xfId="5" applyNumberFormat="1" applyFont="1" applyFill="1" applyBorder="1" applyProtection="1">
      <protection hidden="1"/>
    </xf>
    <xf numFmtId="0" fontId="147" fillId="11" borderId="0" xfId="5" applyFont="1" applyFill="1" applyBorder="1" applyAlignment="1">
      <alignment vertical="center" textRotation="90"/>
    </xf>
    <xf numFmtId="43" fontId="148" fillId="11" borderId="0" xfId="6" applyFont="1" applyFill="1" applyBorder="1" applyAlignment="1" applyProtection="1">
      <alignment wrapText="1"/>
      <protection hidden="1"/>
    </xf>
    <xf numFmtId="0" fontId="151" fillId="11" borderId="0" xfId="5" applyFont="1" applyFill="1" applyBorder="1" applyProtection="1">
      <protection hidden="1"/>
    </xf>
    <xf numFmtId="172" fontId="152" fillId="11" borderId="0" xfId="5" applyNumberFormat="1" applyFont="1" applyFill="1" applyBorder="1" applyAlignment="1" applyProtection="1">
      <alignment horizontal="center"/>
      <protection hidden="1"/>
    </xf>
    <xf numFmtId="166" fontId="153" fillId="11" borderId="0" xfId="5" applyNumberFormat="1" applyFont="1" applyFill="1" applyBorder="1" applyAlignment="1" applyProtection="1">
      <alignment vertical="center"/>
      <protection hidden="1"/>
    </xf>
    <xf numFmtId="172" fontId="154" fillId="11" borderId="0" xfId="5" applyNumberFormat="1" applyFont="1" applyFill="1" applyBorder="1" applyAlignment="1" applyProtection="1">
      <alignment vertical="top"/>
      <protection hidden="1"/>
    </xf>
    <xf numFmtId="0" fontId="162" fillId="11" borderId="0" xfId="5" applyFont="1" applyFill="1" applyBorder="1" applyAlignment="1">
      <alignment vertical="center" textRotation="90"/>
    </xf>
    <xf numFmtId="0" fontId="39" fillId="11" borderId="0" xfId="0" applyFont="1" applyFill="1" applyAlignment="1">
      <alignment horizontal="right"/>
    </xf>
    <xf numFmtId="0" fontId="163" fillId="11" borderId="0" xfId="5" applyFont="1" applyFill="1" applyBorder="1" applyProtection="1">
      <protection hidden="1"/>
    </xf>
    <xf numFmtId="43" fontId="164" fillId="11" borderId="0" xfId="5" applyNumberFormat="1" applyFont="1" applyFill="1" applyBorder="1" applyAlignment="1" applyProtection="1">
      <alignment vertical="center" wrapText="1"/>
      <protection hidden="1"/>
    </xf>
    <xf numFmtId="10" fontId="165" fillId="11" borderId="0" xfId="5" applyNumberFormat="1" applyFont="1" applyFill="1" applyBorder="1" applyAlignment="1" applyProtection="1">
      <alignment vertical="center" wrapText="1"/>
      <protection hidden="1"/>
    </xf>
    <xf numFmtId="10" fontId="164" fillId="11" borderId="0" xfId="5" applyNumberFormat="1" applyFont="1" applyFill="1" applyBorder="1" applyAlignment="1" applyProtection="1">
      <alignment vertical="center" wrapText="1"/>
      <protection hidden="1"/>
    </xf>
    <xf numFmtId="44" fontId="168" fillId="11" borderId="0" xfId="4" applyFont="1" applyFill="1" applyBorder="1"/>
    <xf numFmtId="10" fontId="39" fillId="11" borderId="0" xfId="5" applyNumberFormat="1" applyFont="1" applyFill="1" applyBorder="1" applyAlignment="1" applyProtection="1">
      <alignment horizontal="right" vertical="center"/>
      <protection hidden="1"/>
    </xf>
    <xf numFmtId="0" fontId="170" fillId="11" borderId="0" xfId="0" applyFont="1" applyFill="1"/>
    <xf numFmtId="0" fontId="155" fillId="8" borderId="0" xfId="5" applyNumberFormat="1" applyFont="1" applyFill="1" applyBorder="1" applyAlignment="1" applyProtection="1">
      <alignment horizontal="center" vertical="center" wrapText="1"/>
      <protection hidden="1"/>
    </xf>
    <xf numFmtId="0" fontId="2" fillId="19" borderId="0" xfId="0" applyFont="1" applyFill="1"/>
    <xf numFmtId="0" fontId="0" fillId="19" borderId="0" xfId="0" applyFill="1"/>
    <xf numFmtId="0" fontId="2" fillId="19" borderId="0" xfId="1" applyNumberFormat="1" applyFont="1" applyFill="1"/>
    <xf numFmtId="0" fontId="21" fillId="19" borderId="0" xfId="0" applyFont="1" applyFill="1"/>
    <xf numFmtId="0" fontId="144" fillId="19" borderId="0" xfId="5" applyFont="1" applyFill="1" applyProtection="1">
      <protection hidden="1"/>
    </xf>
    <xf numFmtId="0" fontId="145" fillId="19" borderId="0" xfId="5" applyFont="1" applyFill="1" applyBorder="1" applyProtection="1">
      <protection hidden="1"/>
    </xf>
    <xf numFmtId="0" fontId="145" fillId="19" borderId="0" xfId="5" applyFont="1" applyFill="1" applyBorder="1" applyAlignment="1" applyProtection="1">
      <alignment horizontal="center"/>
      <protection hidden="1"/>
    </xf>
    <xf numFmtId="0" fontId="145" fillId="19" borderId="0" xfId="5" applyFont="1" applyFill="1" applyProtection="1">
      <protection hidden="1"/>
    </xf>
    <xf numFmtId="0" fontId="145" fillId="19" borderId="0" xfId="5" applyFont="1" applyFill="1" applyAlignment="1" applyProtection="1">
      <alignment horizontal="center"/>
      <protection hidden="1"/>
    </xf>
    <xf numFmtId="10" fontId="146" fillId="19" borderId="0" xfId="5" applyNumberFormat="1" applyFont="1" applyFill="1" applyBorder="1" applyProtection="1">
      <protection hidden="1"/>
    </xf>
    <xf numFmtId="0" fontId="7" fillId="19" borderId="0" xfId="0" applyFont="1" applyFill="1"/>
    <xf numFmtId="0" fontId="21" fillId="19" borderId="0" xfId="0" applyFont="1" applyFill="1" applyBorder="1"/>
    <xf numFmtId="9" fontId="21" fillId="19" borderId="0" xfId="2" applyFont="1" applyFill="1" applyBorder="1"/>
    <xf numFmtId="9" fontId="21" fillId="19" borderId="0" xfId="0" applyNumberFormat="1" applyFont="1" applyFill="1" applyBorder="1"/>
    <xf numFmtId="14" fontId="172" fillId="19" borderId="0" xfId="0" applyNumberFormat="1" applyFont="1" applyFill="1" applyAlignment="1">
      <alignment horizontal="left" vertical="center"/>
    </xf>
    <xf numFmtId="0" fontId="173" fillId="19" borderId="0" xfId="0" applyFont="1" applyFill="1"/>
    <xf numFmtId="0" fontId="76" fillId="19" borderId="0" xfId="0" applyFont="1" applyFill="1" applyAlignment="1">
      <alignment vertical="center"/>
    </xf>
    <xf numFmtId="0" fontId="76" fillId="11" borderId="0" xfId="0" applyFont="1" applyFill="1" applyAlignment="1">
      <alignment vertical="center"/>
    </xf>
    <xf numFmtId="0" fontId="22" fillId="11" borderId="0" xfId="0" applyFont="1" applyFill="1" applyAlignment="1"/>
    <xf numFmtId="9" fontId="52" fillId="12" borderId="0" xfId="2" applyFont="1" applyFill="1" applyBorder="1" applyAlignment="1">
      <alignment horizontal="center" vertical="center"/>
    </xf>
    <xf numFmtId="0" fontId="174" fillId="2" borderId="56" xfId="0" applyFont="1" applyFill="1" applyBorder="1" applyAlignment="1">
      <alignment horizontal="center" vertical="center" wrapText="1"/>
    </xf>
    <xf numFmtId="0" fontId="51" fillId="12" borderId="0" xfId="0" quotePrefix="1" applyFont="1" applyFill="1" applyBorder="1" applyAlignment="1">
      <alignment horizontal="left" vertical="center" wrapText="1"/>
    </xf>
    <xf numFmtId="9" fontId="174" fillId="2" borderId="57" xfId="2" applyFont="1" applyFill="1" applyBorder="1" applyAlignment="1">
      <alignment horizontal="center" vertical="center" wrapText="1"/>
    </xf>
    <xf numFmtId="10" fontId="150" fillId="8" borderId="0" xfId="5" applyNumberFormat="1" applyFont="1" applyFill="1" applyBorder="1" applyAlignment="1" applyProtection="1">
      <alignment vertical="center" wrapText="1"/>
      <protection hidden="1"/>
    </xf>
    <xf numFmtId="22" fontId="0" fillId="0" borderId="0" xfId="0" applyNumberFormat="1"/>
    <xf numFmtId="49" fontId="0" fillId="0" borderId="0" xfId="0" applyNumberFormat="1"/>
    <xf numFmtId="10" fontId="176" fillId="11" borderId="0" xfId="5" applyNumberFormat="1" applyFont="1" applyFill="1" applyBorder="1" applyProtection="1">
      <protection hidden="1"/>
    </xf>
    <xf numFmtId="0" fontId="177" fillId="11" borderId="0" xfId="5" applyFont="1" applyFill="1" applyBorder="1" applyProtection="1">
      <protection hidden="1"/>
    </xf>
    <xf numFmtId="0" fontId="176" fillId="11" borderId="0" xfId="5" applyFont="1" applyFill="1" applyBorder="1" applyProtection="1">
      <protection hidden="1"/>
    </xf>
    <xf numFmtId="0" fontId="65" fillId="11" borderId="0" xfId="0" applyFont="1" applyFill="1" applyBorder="1" applyAlignment="1"/>
    <xf numFmtId="10" fontId="134" fillId="8" borderId="15" xfId="2" applyNumberFormat="1" applyFont="1" applyFill="1" applyBorder="1" applyAlignment="1" applyProtection="1">
      <alignment horizontal="center" vertical="center"/>
      <protection hidden="1"/>
    </xf>
    <xf numFmtId="10" fontId="178" fillId="8" borderId="15" xfId="2" applyNumberFormat="1" applyFont="1" applyFill="1" applyBorder="1" applyAlignment="1" applyProtection="1">
      <alignment horizontal="center" vertical="center"/>
      <protection hidden="1"/>
    </xf>
    <xf numFmtId="43" fontId="166" fillId="11" borderId="0" xfId="1" applyFont="1" applyFill="1" applyBorder="1" applyAlignment="1" applyProtection="1">
      <alignment vertical="center" wrapText="1"/>
      <protection hidden="1"/>
    </xf>
    <xf numFmtId="0" fontId="1" fillId="0" borderId="0" xfId="0" applyFont="1"/>
    <xf numFmtId="0" fontId="145" fillId="12" borderId="0" xfId="5" applyFont="1" applyFill="1" applyBorder="1" applyProtection="1">
      <protection hidden="1"/>
    </xf>
    <xf numFmtId="0" fontId="82" fillId="0" borderId="0" xfId="0" applyFont="1"/>
    <xf numFmtId="10" fontId="81" fillId="12" borderId="0" xfId="2" applyNumberFormat="1" applyFont="1" applyFill="1" applyBorder="1" applyAlignment="1" applyProtection="1">
      <alignment horizontal="center"/>
      <protection hidden="1"/>
    </xf>
    <xf numFmtId="0" fontId="6" fillId="12" borderId="0" xfId="0" applyFont="1" applyFill="1"/>
    <xf numFmtId="0" fontId="0" fillId="12" borderId="0" xfId="0" applyFill="1"/>
    <xf numFmtId="0" fontId="21" fillId="12" borderId="0" xfId="0" applyFont="1" applyFill="1" applyAlignment="1">
      <alignment vertical="center"/>
    </xf>
    <xf numFmtId="0" fontId="184" fillId="8" borderId="0" xfId="0" applyFont="1" applyFill="1" applyBorder="1" applyAlignment="1">
      <alignment horizontal="center" vertical="center" wrapText="1"/>
    </xf>
    <xf numFmtId="0" fontId="184" fillId="8" borderId="0" xfId="0" applyFont="1" applyFill="1" applyBorder="1" applyAlignment="1">
      <alignment horizontal="center" vertical="center"/>
    </xf>
    <xf numFmtId="9" fontId="184" fillId="8" borderId="0" xfId="2" applyFont="1" applyFill="1" applyBorder="1" applyAlignment="1">
      <alignment horizontal="center" vertical="center"/>
    </xf>
    <xf numFmtId="0" fontId="0" fillId="11" borderId="0" xfId="0" applyFill="1" applyAlignment="1">
      <alignment vertical="top"/>
    </xf>
    <xf numFmtId="0" fontId="186" fillId="12" borderId="0" xfId="0" applyFont="1" applyFill="1" applyAlignment="1">
      <alignment horizontal="right"/>
    </xf>
    <xf numFmtId="0" fontId="0" fillId="12" borderId="0" xfId="0" applyFill="1" applyAlignment="1">
      <alignment horizontal="right"/>
    </xf>
    <xf numFmtId="0" fontId="185" fillId="12" borderId="0" xfId="0" applyFont="1" applyFill="1" applyAlignment="1">
      <alignment horizontal="center" vertical="top"/>
    </xf>
    <xf numFmtId="0" fontId="0" fillId="12" borderId="0" xfId="0" applyFill="1" applyAlignment="1">
      <alignment vertical="top"/>
    </xf>
    <xf numFmtId="174" fontId="187" fillId="12" borderId="0" xfId="4" applyNumberFormat="1" applyFont="1" applyFill="1" applyBorder="1" applyAlignment="1">
      <alignment horizontal="center"/>
    </xf>
    <xf numFmtId="10" fontId="187" fillId="12" borderId="0" xfId="2" applyNumberFormat="1" applyFont="1" applyFill="1" applyBorder="1" applyAlignment="1">
      <alignment horizontal="center"/>
    </xf>
    <xf numFmtId="10" fontId="190" fillId="12" borderId="0" xfId="2" applyNumberFormat="1" applyFont="1" applyFill="1" applyBorder="1" applyAlignment="1">
      <alignment horizontal="center"/>
    </xf>
    <xf numFmtId="10" fontId="181" fillId="12" borderId="0" xfId="2" applyNumberFormat="1" applyFont="1" applyFill="1" applyBorder="1" applyAlignment="1">
      <alignment horizontal="center"/>
    </xf>
    <xf numFmtId="10" fontId="22" fillId="12" borderId="0" xfId="2" applyNumberFormat="1" applyFont="1" applyFill="1" applyBorder="1" applyAlignment="1">
      <alignment horizontal="center"/>
    </xf>
    <xf numFmtId="10" fontId="190" fillId="12" borderId="0" xfId="2" applyNumberFormat="1" applyFont="1" applyFill="1" applyAlignment="1">
      <alignment horizontal="center"/>
    </xf>
    <xf numFmtId="0" fontId="49" fillId="12" borderId="0" xfId="0" applyFont="1" applyFill="1" applyAlignment="1">
      <alignment horizontal="right"/>
    </xf>
    <xf numFmtId="9" fontId="39" fillId="12" borderId="0" xfId="2" applyFont="1" applyFill="1" applyBorder="1" applyAlignment="1">
      <alignment horizontal="right"/>
    </xf>
    <xf numFmtId="0" fontId="39" fillId="12" borderId="0" xfId="0" applyFont="1" applyFill="1" applyBorder="1" applyAlignment="1">
      <alignment horizontal="right"/>
    </xf>
    <xf numFmtId="9" fontId="81" fillId="12" borderId="0" xfId="2" applyFont="1" applyFill="1" applyBorder="1" applyAlignment="1">
      <alignment horizontal="right" vertical="center"/>
    </xf>
    <xf numFmtId="0" fontId="120" fillId="12" borderId="0" xfId="0" applyFont="1" applyFill="1" applyAlignment="1">
      <alignment vertical="top"/>
    </xf>
    <xf numFmtId="10" fontId="76" fillId="8" borderId="15" xfId="0" applyNumberFormat="1" applyFont="1" applyFill="1" applyBorder="1" applyAlignment="1">
      <alignment horizontal="center"/>
    </xf>
    <xf numFmtId="0" fontId="191" fillId="12" borderId="0" xfId="0" applyFont="1" applyFill="1" applyBorder="1" applyAlignment="1">
      <alignment horizontal="right"/>
    </xf>
    <xf numFmtId="0" fontId="48" fillId="12" borderId="0" xfId="1" applyNumberFormat="1" applyFont="1" applyFill="1" applyAlignment="1"/>
    <xf numFmtId="0" fontId="98" fillId="12" borderId="0" xfId="0" applyFont="1" applyFill="1" applyAlignment="1">
      <alignment wrapText="1"/>
    </xf>
    <xf numFmtId="0" fontId="9" fillId="12" borderId="0" xfId="0" applyFont="1" applyFill="1" applyAlignment="1"/>
    <xf numFmtId="0" fontId="0" fillId="11" borderId="0" xfId="0" applyFill="1" applyAlignment="1"/>
    <xf numFmtId="0" fontId="0" fillId="12" borderId="0" xfId="0" applyFill="1" applyAlignment="1"/>
    <xf numFmtId="0" fontId="185" fillId="12" borderId="0" xfId="0" applyFont="1" applyFill="1" applyAlignment="1">
      <alignment horizontal="center"/>
    </xf>
    <xf numFmtId="0" fontId="49" fillId="12" borderId="0" xfId="0" applyFont="1" applyFill="1" applyAlignment="1">
      <alignment horizontal="right"/>
    </xf>
    <xf numFmtId="9" fontId="90" fillId="11" borderId="0" xfId="2" applyFont="1" applyFill="1" applyBorder="1" applyAlignment="1">
      <alignment horizontal="center"/>
    </xf>
    <xf numFmtId="171" fontId="49" fillId="11" borderId="69" xfId="1" applyNumberFormat="1" applyFont="1" applyFill="1" applyBorder="1" applyAlignment="1" applyProtection="1">
      <alignment horizontal="center" vertical="center"/>
      <protection hidden="1"/>
    </xf>
    <xf numFmtId="4" fontId="49" fillId="11" borderId="69" xfId="1" applyNumberFormat="1" applyFont="1" applyFill="1" applyBorder="1" applyAlignment="1" applyProtection="1">
      <alignment horizontal="center" vertical="center"/>
      <protection hidden="1"/>
    </xf>
    <xf numFmtId="3" fontId="178" fillId="11" borderId="69" xfId="1" applyNumberFormat="1" applyFont="1" applyFill="1" applyBorder="1" applyAlignment="1" applyProtection="1">
      <alignment horizontal="center" vertical="center"/>
      <protection hidden="1"/>
    </xf>
    <xf numFmtId="43" fontId="49" fillId="11" borderId="69" xfId="1" applyFont="1" applyFill="1" applyBorder="1" applyAlignment="1" applyProtection="1">
      <alignment horizontal="center" vertical="center"/>
      <protection hidden="1"/>
    </xf>
    <xf numFmtId="4" fontId="66" fillId="11" borderId="69" xfId="1" applyNumberFormat="1" applyFont="1" applyFill="1" applyBorder="1" applyAlignment="1" applyProtection="1">
      <alignment horizontal="center" vertical="center"/>
      <protection hidden="1"/>
    </xf>
    <xf numFmtId="4" fontId="18" fillId="11" borderId="69" xfId="1" applyNumberFormat="1" applyFont="1" applyFill="1" applyBorder="1" applyAlignment="1" applyProtection="1">
      <alignment horizontal="center" vertical="center"/>
      <protection hidden="1"/>
    </xf>
    <xf numFmtId="43" fontId="10" fillId="11" borderId="69" xfId="1" applyFont="1" applyFill="1" applyBorder="1" applyAlignment="1" applyProtection="1">
      <alignment horizontal="center" vertical="center"/>
      <protection hidden="1"/>
    </xf>
    <xf numFmtId="171" fontId="49" fillId="11" borderId="70" xfId="1" applyNumberFormat="1" applyFont="1" applyFill="1" applyBorder="1" applyAlignment="1" applyProtection="1">
      <alignment horizontal="center" vertical="center"/>
      <protection hidden="1"/>
    </xf>
    <xf numFmtId="4" fontId="49" fillId="11" borderId="70" xfId="1" applyNumberFormat="1" applyFont="1" applyFill="1" applyBorder="1" applyAlignment="1" applyProtection="1">
      <alignment horizontal="center" vertical="center"/>
      <protection hidden="1"/>
    </xf>
    <xf numFmtId="3" fontId="178" fillId="11" borderId="70" xfId="1" applyNumberFormat="1" applyFont="1" applyFill="1" applyBorder="1" applyAlignment="1" applyProtection="1">
      <alignment horizontal="center" vertical="center"/>
      <protection hidden="1"/>
    </xf>
    <xf numFmtId="43" fontId="49" fillId="11" borderId="70" xfId="1" applyFont="1" applyFill="1" applyBorder="1" applyAlignment="1" applyProtection="1">
      <alignment horizontal="center" vertical="center"/>
      <protection hidden="1"/>
    </xf>
    <xf numFmtId="4" fontId="66" fillId="11" borderId="70" xfId="1" applyNumberFormat="1" applyFont="1" applyFill="1" applyBorder="1" applyAlignment="1" applyProtection="1">
      <alignment horizontal="center" vertical="center"/>
      <protection hidden="1"/>
    </xf>
    <xf numFmtId="171" fontId="49" fillId="11" borderId="71" xfId="1" applyNumberFormat="1" applyFont="1" applyFill="1" applyBorder="1" applyAlignment="1" applyProtection="1">
      <alignment horizontal="center" vertical="center"/>
      <protection hidden="1"/>
    </xf>
    <xf numFmtId="4" fontId="49" fillId="11" borderId="71" xfId="1" applyNumberFormat="1" applyFont="1" applyFill="1" applyBorder="1" applyAlignment="1" applyProtection="1">
      <alignment horizontal="center" vertical="center"/>
      <protection hidden="1"/>
    </xf>
    <xf numFmtId="3" fontId="178" fillId="11" borderId="71" xfId="1" applyNumberFormat="1" applyFont="1" applyFill="1" applyBorder="1" applyAlignment="1" applyProtection="1">
      <alignment horizontal="center" vertical="center"/>
      <protection hidden="1"/>
    </xf>
    <xf numFmtId="43" fontId="49" fillId="11" borderId="71" xfId="1" applyFont="1" applyFill="1" applyBorder="1" applyAlignment="1" applyProtection="1">
      <alignment horizontal="center" vertical="center"/>
      <protection hidden="1"/>
    </xf>
    <xf numFmtId="4" fontId="66" fillId="11" borderId="71" xfId="1" applyNumberFormat="1" applyFont="1" applyFill="1" applyBorder="1" applyAlignment="1" applyProtection="1">
      <alignment horizontal="center" vertical="center"/>
      <protection hidden="1"/>
    </xf>
    <xf numFmtId="0" fontId="12" fillId="15" borderId="30" xfId="0" applyFont="1" applyFill="1" applyBorder="1" applyAlignment="1" applyProtection="1">
      <alignment horizontal="center" vertical="center"/>
    </xf>
    <xf numFmtId="166" fontId="12" fillId="15" borderId="30" xfId="0" applyNumberFormat="1" applyFont="1" applyFill="1" applyBorder="1" applyAlignment="1" applyProtection="1">
      <alignment horizontal="center" vertical="center"/>
    </xf>
    <xf numFmtId="0" fontId="12" fillId="15" borderId="15" xfId="0" applyFont="1" applyFill="1" applyBorder="1" applyAlignment="1" applyProtection="1">
      <alignment horizontal="center" vertical="center"/>
    </xf>
    <xf numFmtId="166" fontId="12" fillId="15" borderId="15" xfId="0" applyNumberFormat="1" applyFont="1" applyFill="1" applyBorder="1" applyAlignment="1" applyProtection="1">
      <alignment horizontal="center" vertical="center"/>
    </xf>
    <xf numFmtId="3" fontId="180" fillId="15" borderId="30" xfId="1" applyNumberFormat="1" applyFont="1" applyFill="1" applyBorder="1" applyAlignment="1" applyProtection="1">
      <alignment horizontal="center" vertical="center"/>
    </xf>
    <xf numFmtId="3" fontId="180" fillId="15" borderId="15" xfId="1" applyNumberFormat="1" applyFont="1" applyFill="1" applyBorder="1" applyAlignment="1" applyProtection="1">
      <alignment horizontal="center" vertical="center"/>
    </xf>
    <xf numFmtId="3" fontId="180" fillId="15" borderId="31" xfId="1" applyNumberFormat="1" applyFont="1" applyFill="1" applyBorder="1" applyAlignment="1" applyProtection="1">
      <alignment horizontal="center" vertical="center"/>
    </xf>
    <xf numFmtId="10" fontId="156" fillId="9" borderId="0" xfId="5" applyNumberFormat="1" applyFont="1" applyFill="1" applyBorder="1" applyAlignment="1" applyProtection="1">
      <alignment horizontal="center" vertical="center" wrapText="1"/>
      <protection hidden="1"/>
    </xf>
    <xf numFmtId="10" fontId="156" fillId="17" borderId="0" xfId="5" applyNumberFormat="1" applyFont="1" applyFill="1" applyBorder="1" applyAlignment="1" applyProtection="1">
      <alignment horizontal="center" vertical="center" wrapText="1"/>
      <protection hidden="1"/>
    </xf>
    <xf numFmtId="165" fontId="158" fillId="18" borderId="73" xfId="5" applyNumberFormat="1" applyFont="1" applyFill="1" applyBorder="1" applyAlignment="1" applyProtection="1">
      <alignment horizontal="center" vertical="center" wrapText="1"/>
    </xf>
    <xf numFmtId="165" fontId="159" fillId="18" borderId="74" xfId="5" applyNumberFormat="1" applyFont="1" applyFill="1" applyBorder="1" applyAlignment="1" applyProtection="1">
      <alignment horizontal="center" vertical="center" wrapText="1"/>
    </xf>
    <xf numFmtId="0" fontId="167" fillId="11" borderId="0" xfId="0" applyFont="1" applyFill="1" applyBorder="1" applyAlignment="1" applyProtection="1">
      <alignment vertical="center"/>
      <protection hidden="1"/>
    </xf>
    <xf numFmtId="44" fontId="167" fillId="11" borderId="0" xfId="4" applyFont="1" applyFill="1" applyBorder="1" applyAlignment="1" applyProtection="1">
      <alignment vertical="center"/>
      <protection hidden="1"/>
    </xf>
    <xf numFmtId="44" fontId="41" fillId="11" borderId="0" xfId="4" applyFont="1" applyFill="1" applyBorder="1" applyAlignment="1" applyProtection="1">
      <alignment vertical="center"/>
      <protection hidden="1"/>
    </xf>
    <xf numFmtId="44" fontId="19" fillId="11" borderId="0" xfId="4" applyFont="1" applyFill="1" applyBorder="1" applyAlignment="1" applyProtection="1">
      <alignment vertical="center"/>
      <protection hidden="1"/>
    </xf>
    <xf numFmtId="0" fontId="169" fillId="15" borderId="3" xfId="5" applyFont="1" applyFill="1" applyBorder="1" applyAlignment="1" applyProtection="1">
      <alignment horizontal="center" vertical="center"/>
      <protection hidden="1"/>
    </xf>
    <xf numFmtId="0" fontId="169" fillId="15" borderId="2" xfId="5" applyFont="1" applyFill="1" applyBorder="1" applyAlignment="1" applyProtection="1">
      <alignment horizontal="center" vertical="center"/>
      <protection hidden="1"/>
    </xf>
    <xf numFmtId="0" fontId="169" fillId="15" borderId="4" xfId="5" applyFont="1" applyFill="1" applyBorder="1" applyAlignment="1" applyProtection="1">
      <alignment horizontal="center" vertical="center"/>
      <protection hidden="1"/>
    </xf>
    <xf numFmtId="44" fontId="40" fillId="11" borderId="0" xfId="4" applyFont="1" applyFill="1" applyBorder="1"/>
    <xf numFmtId="0" fontId="40" fillId="11" borderId="0" xfId="0" applyFont="1" applyFill="1" applyBorder="1"/>
    <xf numFmtId="0" fontId="40" fillId="12" borderId="89" xfId="0" applyFont="1" applyFill="1" applyBorder="1"/>
    <xf numFmtId="0" fontId="143" fillId="8" borderId="0" xfId="5" applyFont="1" applyFill="1" applyBorder="1" applyAlignment="1" applyProtection="1">
      <alignment vertical="center"/>
      <protection hidden="1"/>
    </xf>
    <xf numFmtId="0" fontId="0" fillId="8" borderId="0" xfId="0" applyFill="1" applyBorder="1" applyAlignment="1">
      <alignment vertical="center"/>
    </xf>
    <xf numFmtId="0" fontId="160" fillId="12" borderId="58" xfId="5" applyNumberFormat="1" applyFont="1" applyFill="1" applyBorder="1" applyAlignment="1" applyProtection="1">
      <alignment horizontal="center" vertical="center"/>
      <protection hidden="1"/>
    </xf>
    <xf numFmtId="0" fontId="51" fillId="15" borderId="30" xfId="5" applyFont="1" applyFill="1" applyBorder="1" applyAlignment="1" applyProtection="1">
      <alignment horizontal="center" vertical="center"/>
    </xf>
    <xf numFmtId="0" fontId="11" fillId="0" borderId="0" xfId="0" applyFont="1" applyAlignment="1">
      <alignment vertical="center"/>
    </xf>
    <xf numFmtId="172" fontId="40" fillId="15" borderId="87" xfId="6" applyNumberFormat="1" applyFont="1" applyFill="1" applyBorder="1" applyAlignment="1" applyProtection="1">
      <alignment horizontal="center" vertical="center"/>
    </xf>
    <xf numFmtId="172" fontId="40" fillId="15" borderId="85" xfId="6" applyNumberFormat="1" applyFont="1" applyFill="1" applyBorder="1" applyAlignment="1" applyProtection="1">
      <alignment horizontal="center" vertical="center"/>
    </xf>
    <xf numFmtId="172" fontId="40" fillId="15" borderId="83" xfId="6" applyNumberFormat="1" applyFont="1" applyFill="1" applyBorder="1" applyAlignment="1" applyProtection="1">
      <alignment horizontal="center" vertical="center"/>
    </xf>
    <xf numFmtId="172" fontId="40" fillId="11" borderId="61" xfId="6" applyNumberFormat="1" applyFont="1" applyFill="1" applyBorder="1" applyAlignment="1" applyProtection="1">
      <alignment horizontal="center" vertical="center"/>
      <protection hidden="1"/>
    </xf>
    <xf numFmtId="172" fontId="40" fillId="11" borderId="66" xfId="6" applyNumberFormat="1" applyFont="1" applyFill="1" applyBorder="1" applyAlignment="1" applyProtection="1">
      <alignment horizontal="center" vertical="center"/>
      <protection hidden="1"/>
    </xf>
    <xf numFmtId="10" fontId="29" fillId="11" borderId="58" xfId="7" applyNumberFormat="1" applyFont="1" applyFill="1" applyBorder="1" applyAlignment="1" applyProtection="1">
      <alignment horizontal="center" vertical="center"/>
      <protection hidden="1"/>
    </xf>
    <xf numFmtId="43" fontId="168" fillId="11" borderId="58" xfId="0" applyNumberFormat="1" applyFont="1" applyFill="1" applyBorder="1" applyAlignment="1">
      <alignment vertical="center"/>
    </xf>
    <xf numFmtId="10" fontId="29" fillId="11" borderId="61" xfId="7" applyNumberFormat="1" applyFont="1" applyFill="1" applyBorder="1" applyAlignment="1" applyProtection="1">
      <alignment vertical="center"/>
      <protection hidden="1"/>
    </xf>
    <xf numFmtId="0" fontId="168" fillId="11" borderId="58" xfId="0" applyFont="1" applyFill="1" applyBorder="1" applyAlignment="1">
      <alignment vertical="center"/>
    </xf>
    <xf numFmtId="10" fontId="29" fillId="11" borderId="58" xfId="7" applyNumberFormat="1" applyFont="1" applyFill="1" applyBorder="1" applyAlignment="1" applyProtection="1">
      <alignment vertical="center"/>
      <protection hidden="1"/>
    </xf>
    <xf numFmtId="0" fontId="161" fillId="12" borderId="32" xfId="5" applyNumberFormat="1" applyFont="1" applyFill="1" applyBorder="1" applyAlignment="1" applyProtection="1">
      <alignment horizontal="center" vertical="center"/>
      <protection hidden="1"/>
    </xf>
    <xf numFmtId="0" fontId="51" fillId="15" borderId="15" xfId="5" applyFont="1" applyFill="1" applyBorder="1" applyAlignment="1" applyProtection="1">
      <alignment horizontal="center" vertical="center"/>
    </xf>
    <xf numFmtId="172" fontId="40" fillId="15" borderId="72" xfId="6" applyNumberFormat="1" applyFont="1" applyFill="1" applyBorder="1" applyAlignment="1" applyProtection="1">
      <alignment horizontal="center" vertical="center"/>
    </xf>
    <xf numFmtId="172" fontId="40" fillId="15" borderId="86" xfId="6" applyNumberFormat="1" applyFont="1" applyFill="1" applyBorder="1" applyAlignment="1" applyProtection="1">
      <alignment horizontal="center" vertical="center"/>
    </xf>
    <xf numFmtId="172" fontId="40" fillId="15" borderId="84" xfId="6" applyNumberFormat="1" applyFont="1" applyFill="1" applyBorder="1" applyAlignment="1" applyProtection="1">
      <alignment horizontal="center" vertical="center"/>
    </xf>
    <xf numFmtId="172" fontId="40" fillId="11" borderId="62" xfId="6" applyNumberFormat="1" applyFont="1" applyFill="1" applyBorder="1" applyAlignment="1" applyProtection="1">
      <alignment horizontal="center" vertical="center"/>
      <protection hidden="1"/>
    </xf>
    <xf numFmtId="172" fontId="40" fillId="11" borderId="67" xfId="6" applyNumberFormat="1" applyFont="1" applyFill="1" applyBorder="1" applyAlignment="1" applyProtection="1">
      <alignment horizontal="center" vertical="center"/>
      <protection hidden="1"/>
    </xf>
    <xf numFmtId="10" fontId="29" fillId="11" borderId="32" xfId="7" applyNumberFormat="1" applyFont="1" applyFill="1" applyBorder="1" applyAlignment="1" applyProtection="1">
      <alignment horizontal="center" vertical="center"/>
      <protection hidden="1"/>
    </xf>
    <xf numFmtId="43" fontId="168" fillId="11" borderId="32" xfId="0" applyNumberFormat="1" applyFont="1" applyFill="1" applyBorder="1" applyAlignment="1">
      <alignment vertical="center"/>
    </xf>
    <xf numFmtId="10" fontId="29" fillId="11" borderId="62" xfId="7" applyNumberFormat="1" applyFont="1" applyFill="1" applyBorder="1" applyAlignment="1" applyProtection="1">
      <alignment vertical="center"/>
      <protection hidden="1"/>
    </xf>
    <xf numFmtId="0" fontId="168" fillId="11" borderId="32" xfId="0" applyFont="1" applyFill="1" applyBorder="1" applyAlignment="1">
      <alignment vertical="center"/>
    </xf>
    <xf numFmtId="10" fontId="29" fillId="11" borderId="32" xfId="7" applyNumberFormat="1" applyFont="1" applyFill="1" applyBorder="1" applyAlignment="1" applyProtection="1">
      <alignment vertical="center"/>
      <protection hidden="1"/>
    </xf>
    <xf numFmtId="0" fontId="40" fillId="8" borderId="89" xfId="0" applyFont="1" applyFill="1" applyBorder="1"/>
    <xf numFmtId="0" fontId="59" fillId="11" borderId="0" xfId="0" applyFont="1" applyFill="1" applyAlignment="1">
      <alignment vertical="center"/>
    </xf>
    <xf numFmtId="172" fontId="51" fillId="15" borderId="85" xfId="6" applyNumberFormat="1" applyFont="1" applyFill="1" applyBorder="1" applyAlignment="1" applyProtection="1">
      <alignment horizontal="center" vertical="center"/>
    </xf>
    <xf numFmtId="172" fontId="51" fillId="15" borderId="86" xfId="6" applyNumberFormat="1" applyFont="1" applyFill="1" applyBorder="1" applyAlignment="1" applyProtection="1">
      <alignment horizontal="center" vertical="center"/>
    </xf>
    <xf numFmtId="0" fontId="12" fillId="8" borderId="0" xfId="0" applyFont="1" applyFill="1" applyBorder="1" applyAlignment="1">
      <alignment horizontal="center" vertical="center"/>
    </xf>
    <xf numFmtId="14" fontId="12" fillId="8" borderId="0" xfId="0" applyNumberFormat="1" applyFont="1" applyFill="1" applyBorder="1" applyAlignment="1">
      <alignment horizontal="center" vertical="center"/>
    </xf>
    <xf numFmtId="0" fontId="19" fillId="11" borderId="0" xfId="0" applyFont="1" applyFill="1" applyAlignment="1">
      <alignment horizontal="center"/>
    </xf>
    <xf numFmtId="0" fontId="20" fillId="11" borderId="0" xfId="0" applyFont="1" applyFill="1" applyAlignment="1">
      <alignment horizontal="center"/>
    </xf>
    <xf numFmtId="43" fontId="81" fillId="11" borderId="61" xfId="1" applyFont="1" applyFill="1" applyBorder="1" applyAlignment="1" applyProtection="1">
      <alignment horizontal="center" vertical="center"/>
      <protection hidden="1"/>
    </xf>
    <xf numFmtId="43" fontId="81" fillId="11" borderId="62" xfId="1" applyFont="1" applyFill="1" applyBorder="1" applyAlignment="1" applyProtection="1">
      <alignment horizontal="center" vertical="center"/>
      <protection hidden="1"/>
    </xf>
    <xf numFmtId="43" fontId="81" fillId="11" borderId="63" xfId="1" applyFont="1" applyFill="1" applyBorder="1" applyAlignment="1" applyProtection="1">
      <alignment horizontal="center" vertical="center"/>
      <protection hidden="1"/>
    </xf>
    <xf numFmtId="166" fontId="26" fillId="15" borderId="72" xfId="0" applyNumberFormat="1" applyFont="1" applyFill="1" applyBorder="1" applyAlignment="1" applyProtection="1">
      <alignment horizontal="center" vertical="center"/>
    </xf>
    <xf numFmtId="166" fontId="26" fillId="15" borderId="92" xfId="0" applyNumberFormat="1" applyFont="1" applyFill="1" applyBorder="1" applyAlignment="1" applyProtection="1">
      <alignment horizontal="center" vertical="center"/>
    </xf>
    <xf numFmtId="9" fontId="174" fillId="2" borderId="0" xfId="2" applyFont="1" applyFill="1" applyBorder="1" applyAlignment="1">
      <alignment horizontal="center" vertical="center" wrapText="1"/>
    </xf>
    <xf numFmtId="0" fontId="174" fillId="2" borderId="0" xfId="0" applyFont="1" applyFill="1" applyBorder="1" applyAlignment="1">
      <alignment horizontal="center" vertical="center" wrapText="1"/>
    </xf>
    <xf numFmtId="7" fontId="184" fillId="8" borderId="0" xfId="0" applyNumberFormat="1" applyFont="1" applyFill="1" applyBorder="1" applyAlignment="1">
      <alignment horizontal="center" vertical="center"/>
    </xf>
    <xf numFmtId="9" fontId="76" fillId="8" borderId="50" xfId="0" applyNumberFormat="1" applyFont="1" applyFill="1" applyBorder="1" applyAlignment="1">
      <alignment horizontal="center"/>
    </xf>
    <xf numFmtId="9" fontId="76" fillId="8" borderId="51" xfId="0" applyNumberFormat="1" applyFont="1" applyFill="1" applyBorder="1" applyAlignment="1">
      <alignment horizontal="center"/>
    </xf>
    <xf numFmtId="9" fontId="76" fillId="8" borderId="52" xfId="0" applyNumberFormat="1" applyFont="1" applyFill="1" applyBorder="1" applyAlignment="1">
      <alignment horizontal="center"/>
    </xf>
    <xf numFmtId="9" fontId="76" fillId="8" borderId="53" xfId="0" applyNumberFormat="1" applyFont="1" applyFill="1" applyBorder="1" applyAlignment="1">
      <alignment horizontal="center"/>
    </xf>
    <xf numFmtId="0" fontId="197" fillId="11" borderId="0" xfId="0" applyFont="1" applyFill="1" applyBorder="1"/>
    <xf numFmtId="0" fontId="96" fillId="11" borderId="0" xfId="1" applyNumberFormat="1" applyFont="1" applyFill="1" applyBorder="1" applyAlignment="1">
      <alignment vertical="center" wrapText="1"/>
    </xf>
    <xf numFmtId="0" fontId="198" fillId="12" borderId="0" xfId="0" applyFont="1" applyFill="1" applyAlignment="1">
      <alignment horizontal="right"/>
    </xf>
    <xf numFmtId="9" fontId="90" fillId="11" borderId="0" xfId="2" applyFont="1" applyFill="1" applyBorder="1" applyAlignment="1"/>
    <xf numFmtId="9" fontId="56" fillId="11" borderId="0" xfId="4" applyNumberFormat="1" applyFont="1" applyFill="1" applyBorder="1" applyAlignment="1">
      <alignment horizontal="center"/>
    </xf>
    <xf numFmtId="10" fontId="78" fillId="8" borderId="15" xfId="0" applyNumberFormat="1" applyFont="1" applyFill="1" applyBorder="1" applyAlignment="1">
      <alignment horizontal="center"/>
    </xf>
    <xf numFmtId="10" fontId="136" fillId="8" borderId="31" xfId="0" applyNumberFormat="1" applyFont="1" applyFill="1" applyBorder="1" applyAlignment="1">
      <alignment horizontal="center"/>
    </xf>
    <xf numFmtId="43" fontId="199" fillId="12" borderId="0" xfId="1" applyFont="1" applyFill="1"/>
    <xf numFmtId="43" fontId="14" fillId="12" borderId="0" xfId="0" applyNumberFormat="1" applyFont="1" applyFill="1"/>
    <xf numFmtId="10" fontId="200" fillId="12" borderId="0" xfId="2" applyNumberFormat="1" applyFont="1" applyFill="1"/>
    <xf numFmtId="9" fontId="32" fillId="11" borderId="0" xfId="2" applyFont="1" applyFill="1" applyBorder="1" applyAlignment="1">
      <alignment horizontal="right"/>
    </xf>
    <xf numFmtId="0" fontId="9" fillId="11" borderId="0" xfId="0" applyFont="1" applyFill="1" applyBorder="1" applyAlignment="1" applyProtection="1">
      <alignment horizontal="right"/>
      <protection hidden="1"/>
    </xf>
    <xf numFmtId="44" fontId="15" fillId="11" borderId="0" xfId="4" applyFont="1" applyFill="1" applyBorder="1" applyAlignment="1"/>
    <xf numFmtId="0" fontId="119" fillId="11" borderId="0" xfId="0" applyFont="1" applyFill="1" applyAlignment="1" applyProtection="1">
      <alignment vertical="center" wrapText="1"/>
      <protection hidden="1"/>
    </xf>
    <xf numFmtId="9" fontId="167" fillId="11" borderId="0" xfId="2" applyFont="1" applyFill="1" applyBorder="1" applyAlignment="1">
      <alignment horizontal="center" vertical="center"/>
    </xf>
    <xf numFmtId="176" fontId="9" fillId="11" borderId="0" xfId="0" applyNumberFormat="1" applyFont="1" applyFill="1" applyBorder="1" applyAlignment="1">
      <alignment horizontal="right"/>
    </xf>
    <xf numFmtId="10" fontId="59" fillId="11" borderId="0" xfId="0" applyNumberFormat="1" applyFont="1" applyFill="1"/>
    <xf numFmtId="173" fontId="59" fillId="11" borderId="0" xfId="1" applyNumberFormat="1" applyFont="1" applyFill="1"/>
    <xf numFmtId="0" fontId="202" fillId="11" borderId="0" xfId="0" applyFont="1" applyFill="1" applyAlignment="1">
      <alignment horizontal="right"/>
    </xf>
    <xf numFmtId="0" fontId="21" fillId="11" borderId="0" xfId="0" applyFont="1" applyFill="1" applyAlignment="1">
      <alignment vertical="center"/>
    </xf>
    <xf numFmtId="0" fontId="9" fillId="11" borderId="59" xfId="0" applyFont="1" applyFill="1" applyBorder="1" applyAlignment="1">
      <alignment horizontal="right"/>
    </xf>
    <xf numFmtId="9" fontId="32" fillId="11" borderId="58" xfId="2" applyFont="1" applyFill="1" applyBorder="1" applyAlignment="1">
      <alignment horizontal="right"/>
    </xf>
    <xf numFmtId="9" fontId="9" fillId="11" borderId="58" xfId="2" applyFont="1" applyFill="1" applyBorder="1" applyAlignment="1" applyProtection="1">
      <alignment horizontal="right"/>
      <protection hidden="1"/>
    </xf>
    <xf numFmtId="0" fontId="9" fillId="11" borderId="58" xfId="0" applyFont="1" applyFill="1" applyBorder="1" applyAlignment="1" applyProtection="1">
      <alignment horizontal="right"/>
      <protection hidden="1"/>
    </xf>
    <xf numFmtId="9" fontId="90" fillId="11" borderId="16" xfId="2" applyFont="1" applyFill="1" applyBorder="1" applyAlignment="1"/>
    <xf numFmtId="0" fontId="23" fillId="11" borderId="0" xfId="0" applyFont="1" applyFill="1" applyBorder="1" applyAlignment="1">
      <alignment horizontal="right"/>
    </xf>
    <xf numFmtId="0" fontId="78" fillId="11" borderId="16" xfId="0" applyNumberFormat="1" applyFont="1" applyFill="1" applyBorder="1" applyAlignment="1" applyProtection="1">
      <alignment horizontal="center"/>
      <protection hidden="1"/>
    </xf>
    <xf numFmtId="0" fontId="74" fillId="11" borderId="16" xfId="0" applyNumberFormat="1" applyFont="1" applyFill="1" applyBorder="1" applyAlignment="1" applyProtection="1">
      <alignment horizontal="center"/>
      <protection hidden="1"/>
    </xf>
    <xf numFmtId="0" fontId="75" fillId="11" borderId="16" xfId="0" applyNumberFormat="1" applyFont="1" applyFill="1" applyBorder="1" applyAlignment="1" applyProtection="1">
      <alignment horizontal="center"/>
      <protection hidden="1"/>
    </xf>
    <xf numFmtId="4" fontId="74" fillId="11" borderId="95" xfId="2" applyNumberFormat="1" applyFont="1" applyFill="1" applyBorder="1" applyAlignment="1" applyProtection="1">
      <alignment horizontal="center"/>
      <protection hidden="1"/>
    </xf>
    <xf numFmtId="4" fontId="75" fillId="11" borderId="16" xfId="2" applyNumberFormat="1" applyFont="1" applyFill="1" applyBorder="1" applyAlignment="1" applyProtection="1">
      <alignment horizontal="center"/>
      <protection hidden="1"/>
    </xf>
    <xf numFmtId="10" fontId="198" fillId="11" borderId="16" xfId="2" applyNumberFormat="1" applyFont="1" applyFill="1" applyBorder="1" applyAlignment="1">
      <alignment horizontal="center"/>
    </xf>
    <xf numFmtId="10" fontId="72" fillId="11" borderId="96" xfId="2" applyNumberFormat="1" applyFont="1" applyFill="1" applyBorder="1" applyAlignment="1">
      <alignment horizontal="center"/>
    </xf>
    <xf numFmtId="0" fontId="91" fillId="11" borderId="0" xfId="0" applyFont="1" applyFill="1" applyBorder="1" applyAlignment="1">
      <alignment vertical="center"/>
    </xf>
    <xf numFmtId="1" fontId="175" fillId="11" borderId="16" xfId="1" applyNumberFormat="1" applyFont="1" applyFill="1" applyBorder="1" applyAlignment="1" applyProtection="1">
      <alignment horizontal="center"/>
      <protection hidden="1"/>
    </xf>
    <xf numFmtId="4" fontId="74" fillId="11" borderId="95" xfId="0" applyNumberFormat="1" applyFont="1" applyFill="1" applyBorder="1" applyAlignment="1" applyProtection="1">
      <alignment horizontal="center"/>
      <protection hidden="1"/>
    </xf>
    <xf numFmtId="10" fontId="89" fillId="11" borderId="96" xfId="2" applyNumberFormat="1" applyFont="1" applyFill="1" applyBorder="1" applyAlignment="1" applyProtection="1">
      <alignment horizontal="center"/>
      <protection hidden="1"/>
    </xf>
    <xf numFmtId="4" fontId="56" fillId="11" borderId="16" xfId="0" applyNumberFormat="1" applyFont="1" applyFill="1" applyBorder="1" applyAlignment="1" applyProtection="1">
      <alignment horizontal="center"/>
      <protection hidden="1"/>
    </xf>
    <xf numFmtId="0" fontId="13" fillId="11" borderId="0" xfId="0" applyFont="1" applyFill="1" applyBorder="1"/>
    <xf numFmtId="4" fontId="50" fillId="11" borderId="16" xfId="0" applyNumberFormat="1" applyFont="1" applyFill="1" applyBorder="1" applyAlignment="1" applyProtection="1">
      <alignment horizontal="center"/>
      <protection hidden="1"/>
    </xf>
    <xf numFmtId="10" fontId="58" fillId="11" borderId="96" xfId="2" applyNumberFormat="1" applyFont="1" applyFill="1" applyBorder="1" applyAlignment="1" applyProtection="1">
      <alignment horizontal="center"/>
      <protection hidden="1"/>
    </xf>
    <xf numFmtId="0" fontId="203" fillId="11" borderId="0" xfId="0" applyFont="1" applyFill="1" applyBorder="1" applyAlignment="1" applyProtection="1">
      <alignment vertical="center" wrapText="1"/>
      <protection hidden="1"/>
    </xf>
    <xf numFmtId="0" fontId="203" fillId="11" borderId="16" xfId="0" applyFont="1" applyFill="1" applyBorder="1" applyAlignment="1" applyProtection="1">
      <alignment vertical="center" wrapText="1"/>
      <protection hidden="1"/>
    </xf>
    <xf numFmtId="0" fontId="119" fillId="11" borderId="16" xfId="0" applyFont="1" applyFill="1" applyBorder="1" applyAlignment="1" applyProtection="1">
      <alignment vertical="center" wrapText="1"/>
      <protection hidden="1"/>
    </xf>
    <xf numFmtId="0" fontId="0" fillId="11" borderId="16" xfId="0" applyFill="1" applyBorder="1"/>
    <xf numFmtId="43" fontId="56" fillId="8" borderId="30" xfId="1" applyFont="1" applyFill="1" applyBorder="1" applyAlignment="1">
      <alignment horizontal="center"/>
    </xf>
    <xf numFmtId="43" fontId="0" fillId="0" borderId="0" xfId="0" applyNumberFormat="1"/>
    <xf numFmtId="0" fontId="41" fillId="11" borderId="0" xfId="0" applyFont="1" applyFill="1" applyAlignment="1"/>
    <xf numFmtId="0" fontId="83" fillId="11" borderId="0" xfId="0" applyFont="1" applyFill="1" applyAlignment="1" applyProtection="1">
      <alignment vertical="center"/>
      <protection hidden="1"/>
    </xf>
    <xf numFmtId="0" fontId="204" fillId="12" borderId="0" xfId="0" applyFont="1" applyFill="1" applyBorder="1" applyAlignment="1">
      <alignment vertical="center"/>
    </xf>
    <xf numFmtId="43" fontId="15" fillId="11" borderId="31" xfId="1" applyFont="1" applyFill="1" applyBorder="1" applyAlignment="1"/>
    <xf numFmtId="43" fontId="15" fillId="11" borderId="30" xfId="1" applyFont="1" applyFill="1" applyBorder="1" applyAlignment="1"/>
    <xf numFmtId="43" fontId="201" fillId="11" borderId="30" xfId="1" applyFont="1" applyFill="1" applyBorder="1" applyAlignment="1"/>
    <xf numFmtId="0" fontId="205" fillId="0" borderId="0" xfId="0" applyFont="1"/>
    <xf numFmtId="0" fontId="75" fillId="11" borderId="0" xfId="0" applyFont="1" applyFill="1" applyAlignment="1">
      <alignment vertical="center"/>
    </xf>
    <xf numFmtId="171" fontId="188" fillId="11" borderId="0" xfId="1" applyNumberFormat="1" applyFont="1" applyFill="1" applyAlignment="1" applyProtection="1">
      <alignment horizontal="center"/>
      <protection hidden="1"/>
    </xf>
    <xf numFmtId="166" fontId="206" fillId="11" borderId="0" xfId="1" applyNumberFormat="1" applyFont="1" applyFill="1" applyAlignment="1" applyProtection="1">
      <alignment horizontal="center"/>
      <protection hidden="1"/>
    </xf>
    <xf numFmtId="3" fontId="209" fillId="11" borderId="0" xfId="1" applyNumberFormat="1" applyFont="1" applyFill="1" applyAlignment="1" applyProtection="1">
      <alignment horizontal="center"/>
      <protection hidden="1"/>
    </xf>
    <xf numFmtId="166" fontId="188" fillId="11" borderId="0" xfId="1" applyNumberFormat="1" applyFont="1" applyFill="1" applyAlignment="1" applyProtection="1">
      <alignment horizontal="center"/>
      <protection hidden="1"/>
    </xf>
    <xf numFmtId="0" fontId="38" fillId="11" borderId="3" xfId="0" applyFont="1" applyFill="1" applyBorder="1" applyAlignment="1">
      <alignment horizontal="center"/>
    </xf>
    <xf numFmtId="0" fontId="38" fillId="11" borderId="2" xfId="0" applyFont="1" applyFill="1" applyBorder="1" applyAlignment="1">
      <alignment horizontal="center"/>
    </xf>
    <xf numFmtId="0" fontId="38" fillId="11" borderId="2" xfId="1" applyNumberFormat="1" applyFont="1" applyFill="1" applyBorder="1" applyAlignment="1">
      <alignment horizontal="center"/>
    </xf>
    <xf numFmtId="0" fontId="38" fillId="11" borderId="2" xfId="0" applyFont="1" applyFill="1" applyBorder="1" applyAlignment="1">
      <alignment horizontal="center" vertical="center"/>
    </xf>
    <xf numFmtId="0" fontId="38" fillId="11" borderId="4" xfId="1" applyNumberFormat="1" applyFont="1" applyFill="1" applyBorder="1" applyAlignment="1">
      <alignment horizontal="center"/>
    </xf>
    <xf numFmtId="22" fontId="124" fillId="11" borderId="0" xfId="3" applyNumberFormat="1" applyFont="1" applyFill="1" applyAlignment="1" applyProtection="1">
      <alignment vertical="center"/>
      <protection hidden="1"/>
    </xf>
    <xf numFmtId="22" fontId="124" fillId="11" borderId="0" xfId="0" applyNumberFormat="1" applyFont="1" applyFill="1" applyAlignment="1" applyProtection="1">
      <alignment vertical="center"/>
      <protection hidden="1"/>
    </xf>
    <xf numFmtId="0" fontId="99" fillId="10" borderId="0" xfId="3" applyFont="1" applyFill="1" applyAlignment="1">
      <alignment horizontal="left" vertical="center"/>
    </xf>
    <xf numFmtId="0" fontId="62" fillId="10" borderId="0" xfId="0" applyFont="1" applyFill="1" applyAlignment="1">
      <alignment horizontal="right" vertical="center"/>
    </xf>
    <xf numFmtId="0" fontId="12" fillId="8" borderId="0" xfId="0" applyFont="1" applyFill="1" applyBorder="1" applyAlignment="1">
      <alignment horizontal="center" vertical="center"/>
    </xf>
    <xf numFmtId="0" fontId="83" fillId="11" borderId="0" xfId="0" applyFont="1" applyFill="1" applyAlignment="1" applyProtection="1">
      <alignment horizontal="center" vertical="center"/>
      <protection hidden="1"/>
    </xf>
    <xf numFmtId="0" fontId="0" fillId="11" borderId="0" xfId="0" applyFill="1"/>
    <xf numFmtId="43" fontId="207" fillId="11" borderId="0" xfId="1" applyFont="1" applyFill="1" applyAlignment="1" applyProtection="1">
      <alignment horizontal="center"/>
      <protection hidden="1"/>
    </xf>
    <xf numFmtId="0" fontId="21" fillId="19" borderId="0" xfId="0" applyFont="1" applyFill="1" applyAlignment="1">
      <alignment horizontal="center"/>
    </xf>
    <xf numFmtId="0" fontId="0" fillId="0" borderId="0" xfId="0" applyAlignment="1">
      <alignment horizontal="center"/>
    </xf>
    <xf numFmtId="3" fontId="171" fillId="11" borderId="96" xfId="1" applyNumberFormat="1" applyFont="1" applyFill="1" applyBorder="1" applyAlignment="1" applyProtection="1">
      <alignment horizontal="center" vertical="center"/>
      <protection hidden="1"/>
    </xf>
    <xf numFmtId="0" fontId="19" fillId="8" borderId="0" xfId="0" applyFont="1" applyFill="1" applyBorder="1" applyAlignment="1">
      <alignment horizontal="center" vertical="center" wrapText="1"/>
    </xf>
    <xf numFmtId="3" fontId="26" fillId="15" borderId="87" xfId="0" applyNumberFormat="1" applyFont="1" applyFill="1" applyBorder="1" applyAlignment="1" applyProtection="1">
      <alignment horizontal="center" vertical="center" wrapText="1"/>
      <protection hidden="1"/>
    </xf>
    <xf numFmtId="3" fontId="26" fillId="15" borderId="72" xfId="0" applyNumberFormat="1" applyFont="1" applyFill="1" applyBorder="1" applyAlignment="1" applyProtection="1">
      <alignment horizontal="center" vertical="center" wrapText="1"/>
      <protection hidden="1"/>
    </xf>
    <xf numFmtId="3" fontId="26" fillId="15" borderId="97" xfId="0" applyNumberFormat="1" applyFont="1" applyFill="1" applyBorder="1" applyAlignment="1" applyProtection="1">
      <alignment horizontal="center" vertical="center" wrapText="1"/>
      <protection hidden="1"/>
    </xf>
    <xf numFmtId="3" fontId="26" fillId="15" borderId="98" xfId="0" applyNumberFormat="1" applyFont="1" applyFill="1" applyBorder="1" applyAlignment="1" applyProtection="1">
      <alignment horizontal="center" vertical="center" wrapText="1"/>
      <protection hidden="1"/>
    </xf>
    <xf numFmtId="3" fontId="26" fillId="15" borderId="99" xfId="0" applyNumberFormat="1" applyFont="1" applyFill="1" applyBorder="1" applyAlignment="1" applyProtection="1">
      <alignment horizontal="center" vertical="center" wrapText="1"/>
      <protection hidden="1"/>
    </xf>
    <xf numFmtId="172" fontId="40" fillId="15" borderId="81" xfId="6" applyNumberFormat="1" applyFont="1" applyFill="1" applyBorder="1" applyAlignment="1" applyProtection="1">
      <alignment horizontal="center" vertical="center"/>
    </xf>
    <xf numFmtId="172" fontId="40" fillId="15" borderId="82" xfId="6" applyNumberFormat="1" applyFont="1" applyFill="1" applyBorder="1" applyAlignment="1" applyProtection="1">
      <alignment horizontal="center" vertical="center"/>
    </xf>
    <xf numFmtId="43" fontId="207" fillId="11" borderId="0" xfId="1" applyFont="1" applyFill="1" applyAlignment="1" applyProtection="1">
      <alignment horizontal="center" vertical="center"/>
      <protection hidden="1"/>
    </xf>
    <xf numFmtId="43" fontId="208" fillId="11" borderId="0" xfId="1" applyFont="1" applyFill="1" applyAlignment="1" applyProtection="1">
      <alignment horizontal="center" vertical="center"/>
      <protection hidden="1"/>
    </xf>
    <xf numFmtId="0" fontId="20" fillId="11" borderId="0" xfId="0" applyFont="1" applyFill="1" applyAlignment="1">
      <alignment horizontal="center" vertical="center"/>
    </xf>
    <xf numFmtId="0" fontId="19" fillId="11" borderId="0" xfId="0" applyFont="1" applyFill="1" applyAlignment="1">
      <alignment horizontal="center" vertical="center"/>
    </xf>
    <xf numFmtId="14" fontId="209" fillId="15" borderId="30" xfId="0" applyNumberFormat="1" applyFont="1" applyFill="1" applyBorder="1" applyAlignment="1" applyProtection="1">
      <alignment horizontal="center" vertical="center"/>
    </xf>
    <xf numFmtId="14" fontId="209" fillId="15" borderId="15" xfId="0" applyNumberFormat="1" applyFont="1" applyFill="1" applyBorder="1" applyAlignment="1" applyProtection="1">
      <alignment horizontal="center" vertical="center"/>
    </xf>
    <xf numFmtId="171" fontId="12" fillId="15" borderId="30" xfId="1" applyNumberFormat="1" applyFont="1" applyFill="1" applyBorder="1" applyAlignment="1" applyProtection="1">
      <alignment horizontal="center" vertical="center"/>
      <protection hidden="1"/>
    </xf>
    <xf numFmtId="171" fontId="12" fillId="15" borderId="15" xfId="1" applyNumberFormat="1" applyFont="1" applyFill="1" applyBorder="1" applyAlignment="1" applyProtection="1">
      <alignment horizontal="center" vertical="center"/>
      <protection hidden="1"/>
    </xf>
    <xf numFmtId="0" fontId="213" fillId="11" borderId="0" xfId="0" applyFont="1" applyFill="1" applyAlignment="1">
      <alignment horizontal="center"/>
    </xf>
    <xf numFmtId="3" fontId="40" fillId="15" borderId="87" xfId="6" applyNumberFormat="1" applyFont="1" applyFill="1" applyBorder="1" applyAlignment="1" applyProtection="1">
      <alignment horizontal="center" vertical="center"/>
    </xf>
    <xf numFmtId="3" fontId="40" fillId="15" borderId="72" xfId="6" applyNumberFormat="1" applyFont="1" applyFill="1" applyBorder="1" applyAlignment="1" applyProtection="1">
      <alignment horizontal="center" vertical="center"/>
    </xf>
    <xf numFmtId="43" fontId="30" fillId="11" borderId="32" xfId="5" applyNumberFormat="1" applyFont="1" applyFill="1" applyBorder="1" applyAlignment="1" applyProtection="1">
      <alignment horizontal="right" vertical="center"/>
      <protection hidden="1"/>
    </xf>
    <xf numFmtId="43" fontId="30" fillId="11" borderId="58" xfId="5" applyNumberFormat="1" applyFont="1" applyFill="1" applyBorder="1" applyAlignment="1" applyProtection="1">
      <alignment horizontal="right" vertical="center"/>
      <protection hidden="1"/>
    </xf>
    <xf numFmtId="43" fontId="30" fillId="11" borderId="64" xfId="5" applyNumberFormat="1" applyFont="1" applyFill="1" applyBorder="1" applyAlignment="1" applyProtection="1">
      <alignment horizontal="right" vertical="center"/>
      <protection hidden="1"/>
    </xf>
    <xf numFmtId="43" fontId="30" fillId="11" borderId="65" xfId="5" applyNumberFormat="1" applyFont="1" applyFill="1" applyBorder="1" applyAlignment="1" applyProtection="1">
      <alignment horizontal="right" vertical="center"/>
      <protection hidden="1"/>
    </xf>
    <xf numFmtId="43" fontId="11" fillId="11" borderId="58" xfId="1" applyFont="1" applyFill="1" applyBorder="1" applyAlignment="1">
      <alignment vertical="center"/>
    </xf>
    <xf numFmtId="43" fontId="11" fillId="11" borderId="32" xfId="1" applyFont="1" applyFill="1" applyBorder="1" applyAlignment="1">
      <alignment vertical="center"/>
    </xf>
    <xf numFmtId="166" fontId="26" fillId="15" borderId="72" xfId="0" applyNumberFormat="1" applyFont="1" applyFill="1" applyBorder="1" applyAlignment="1" applyProtection="1">
      <alignment horizontal="center" vertical="center"/>
    </xf>
    <xf numFmtId="0" fontId="214" fillId="0" borderId="0" xfId="0" applyFont="1"/>
    <xf numFmtId="22" fontId="214" fillId="0" borderId="0" xfId="0" applyNumberFormat="1" applyFont="1"/>
    <xf numFmtId="0" fontId="112" fillId="11" borderId="0" xfId="1" applyNumberFormat="1" applyFont="1" applyFill="1" applyAlignment="1">
      <alignment horizontal="left" vertical="top" wrapText="1"/>
    </xf>
    <xf numFmtId="0" fontId="109" fillId="0" borderId="0" xfId="3" applyFont="1" applyFill="1" applyAlignment="1">
      <alignment horizontal="center"/>
    </xf>
    <xf numFmtId="0" fontId="91" fillId="0" borderId="0" xfId="0" applyFont="1" applyFill="1" applyAlignment="1">
      <alignment horizontal="center"/>
    </xf>
    <xf numFmtId="0" fontId="107" fillId="0" borderId="0" xfId="0" applyFont="1" applyFill="1" applyAlignment="1">
      <alignment horizontal="center"/>
    </xf>
    <xf numFmtId="43" fontId="44" fillId="11" borderId="0" xfId="1" applyFont="1" applyFill="1" applyAlignment="1">
      <alignment horizontal="left" vertical="center"/>
    </xf>
    <xf numFmtId="0" fontId="2" fillId="0" borderId="0" xfId="0" applyFont="1" applyFill="1" applyAlignment="1">
      <alignment horizontal="center"/>
    </xf>
    <xf numFmtId="0" fontId="110" fillId="6" borderId="0" xfId="0" applyFont="1" applyFill="1" applyAlignment="1">
      <alignment horizontal="center"/>
    </xf>
    <xf numFmtId="14" fontId="133" fillId="0" borderId="0" xfId="0" applyNumberFormat="1" applyFont="1" applyFill="1" applyAlignment="1" applyProtection="1">
      <alignment horizontal="center" vertical="center"/>
      <protection hidden="1"/>
    </xf>
    <xf numFmtId="0" fontId="132" fillId="0" borderId="0" xfId="0" applyFont="1" applyFill="1" applyAlignment="1">
      <alignment horizontal="center" vertical="center"/>
    </xf>
    <xf numFmtId="0" fontId="35" fillId="0" borderId="0" xfId="0" applyFont="1" applyFill="1" applyAlignment="1">
      <alignment horizontal="center"/>
    </xf>
    <xf numFmtId="0" fontId="105" fillId="0" borderId="0" xfId="0" applyFont="1" applyFill="1" applyAlignment="1">
      <alignment horizontal="center"/>
    </xf>
    <xf numFmtId="0" fontId="18" fillId="12" borderId="0" xfId="0" applyFont="1" applyFill="1" applyAlignment="1">
      <alignment horizontal="center"/>
    </xf>
    <xf numFmtId="1" fontId="190" fillId="12" borderId="0" xfId="0" applyNumberFormat="1" applyFont="1" applyFill="1" applyAlignment="1">
      <alignment horizontal="center"/>
    </xf>
    <xf numFmtId="10" fontId="190" fillId="12" borderId="0" xfId="0" applyNumberFormat="1" applyFont="1" applyFill="1" applyAlignment="1">
      <alignment horizontal="center"/>
    </xf>
    <xf numFmtId="0" fontId="190" fillId="12" borderId="0" xfId="0" applyFont="1" applyFill="1" applyAlignment="1">
      <alignment horizontal="center"/>
    </xf>
    <xf numFmtId="0" fontId="190" fillId="12" borderId="0" xfId="1" applyNumberFormat="1" applyFont="1" applyFill="1" applyAlignment="1">
      <alignment horizontal="center"/>
    </xf>
    <xf numFmtId="0" fontId="210" fillId="12" borderId="0" xfId="0" applyFont="1" applyFill="1" applyAlignment="1">
      <alignment horizontal="right"/>
    </xf>
    <xf numFmtId="0" fontId="49" fillId="12" borderId="0" xfId="0" applyFont="1" applyFill="1" applyAlignment="1">
      <alignment horizontal="right"/>
    </xf>
    <xf numFmtId="175" fontId="181" fillId="12" borderId="69" xfId="4" applyNumberFormat="1" applyFont="1" applyFill="1" applyBorder="1" applyAlignment="1">
      <alignment horizontal="center"/>
    </xf>
    <xf numFmtId="10" fontId="181" fillId="12" borderId="69" xfId="2" applyNumberFormat="1" applyFont="1" applyFill="1" applyBorder="1" applyAlignment="1">
      <alignment horizontal="right"/>
    </xf>
    <xf numFmtId="10" fontId="22" fillId="11" borderId="70" xfId="2" applyNumberFormat="1" applyFont="1" applyFill="1" applyBorder="1" applyAlignment="1">
      <alignment horizontal="center"/>
    </xf>
    <xf numFmtId="0" fontId="72" fillId="12" borderId="0" xfId="0" applyFont="1" applyFill="1" applyAlignment="1">
      <alignment horizontal="left" vertical="top"/>
    </xf>
    <xf numFmtId="10" fontId="48" fillId="11" borderId="70" xfId="2" applyNumberFormat="1" applyFont="1" applyFill="1" applyBorder="1" applyAlignment="1">
      <alignment horizontal="center"/>
    </xf>
    <xf numFmtId="10" fontId="48" fillId="11" borderId="71" xfId="2" applyNumberFormat="1" applyFont="1" applyFill="1" applyBorder="1" applyAlignment="1">
      <alignment horizontal="center"/>
    </xf>
    <xf numFmtId="10" fontId="48" fillId="11" borderId="71" xfId="2" applyNumberFormat="1" applyFont="1" applyFill="1" applyBorder="1" applyAlignment="1" applyProtection="1">
      <alignment horizontal="center"/>
    </xf>
    <xf numFmtId="10" fontId="48" fillId="11" borderId="69" xfId="2" applyNumberFormat="1" applyFont="1" applyFill="1" applyBorder="1" applyAlignment="1">
      <alignment horizontal="center"/>
    </xf>
    <xf numFmtId="0" fontId="22" fillId="12" borderId="0" xfId="0" applyFont="1" applyFill="1" applyAlignment="1">
      <alignment horizontal="center"/>
    </xf>
    <xf numFmtId="0" fontId="22" fillId="11" borderId="0" xfId="0" applyFont="1" applyFill="1" applyAlignment="1">
      <alignment horizontal="center"/>
    </xf>
    <xf numFmtId="0" fontId="116" fillId="11" borderId="0" xfId="0" applyFont="1" applyFill="1" applyAlignment="1">
      <alignment horizontal="center"/>
    </xf>
    <xf numFmtId="0" fontId="98" fillId="12" borderId="0" xfId="0" applyFont="1" applyFill="1" applyAlignment="1">
      <alignment horizontal="center" wrapText="1"/>
    </xf>
    <xf numFmtId="0" fontId="193" fillId="12" borderId="0" xfId="0" applyFont="1" applyFill="1" applyAlignment="1">
      <alignment horizontal="left" vertical="top"/>
    </xf>
    <xf numFmtId="0" fontId="72" fillId="12" borderId="0" xfId="0" applyFont="1" applyFill="1" applyAlignment="1">
      <alignment horizontal="left"/>
    </xf>
    <xf numFmtId="175" fontId="185" fillId="11" borderId="69" xfId="4" applyNumberFormat="1" applyFont="1" applyFill="1" applyBorder="1" applyAlignment="1">
      <alignment horizontal="center"/>
    </xf>
    <xf numFmtId="10" fontId="22" fillId="11" borderId="71" xfId="2" applyNumberFormat="1" applyFont="1" applyFill="1" applyBorder="1" applyAlignment="1">
      <alignment horizontal="center"/>
    </xf>
    <xf numFmtId="10" fontId="181" fillId="11" borderId="70" xfId="2" applyNumberFormat="1" applyFont="1" applyFill="1" applyBorder="1" applyAlignment="1">
      <alignment horizontal="center"/>
    </xf>
    <xf numFmtId="0" fontId="86" fillId="0" borderId="0" xfId="1" applyNumberFormat="1" applyFont="1" applyAlignment="1">
      <alignment horizontal="left" wrapText="1"/>
    </xf>
    <xf numFmtId="0" fontId="83" fillId="11" borderId="0" xfId="3" applyFont="1" applyFill="1" applyAlignment="1">
      <alignment horizontal="left" vertical="center"/>
    </xf>
    <xf numFmtId="14" fontId="12" fillId="8" borderId="0" xfId="0" applyNumberFormat="1" applyFont="1" applyFill="1" applyBorder="1" applyAlignment="1">
      <alignment horizontal="center" vertical="center" wrapText="1"/>
    </xf>
    <xf numFmtId="14" fontId="12" fillId="8" borderId="0" xfId="0" applyNumberFormat="1" applyFont="1" applyFill="1" applyBorder="1" applyAlignment="1">
      <alignment horizontal="center" vertical="center"/>
    </xf>
    <xf numFmtId="0" fontId="12" fillId="8" borderId="0" xfId="0" applyFont="1" applyFill="1" applyBorder="1" applyAlignment="1">
      <alignment horizontal="center" vertical="center"/>
    </xf>
    <xf numFmtId="0" fontId="16" fillId="9" borderId="0"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41" fillId="11" borderId="0" xfId="0" applyFont="1" applyFill="1" applyAlignment="1">
      <alignment horizontal="center"/>
    </xf>
    <xf numFmtId="0" fontId="83" fillId="11" borderId="0" xfId="0" applyFont="1" applyFill="1" applyAlignment="1" applyProtection="1">
      <alignment horizontal="center" vertical="center"/>
      <protection hidden="1"/>
    </xf>
    <xf numFmtId="43" fontId="19" fillId="11" borderId="0" xfId="1" applyFont="1" applyFill="1" applyBorder="1" applyAlignment="1" applyProtection="1">
      <alignment horizontal="right" vertical="center"/>
      <protection hidden="1"/>
    </xf>
    <xf numFmtId="43" fontId="17" fillId="8" borderId="15" xfId="1" applyFont="1" applyFill="1" applyBorder="1" applyAlignment="1" applyProtection="1">
      <alignment horizontal="right" vertical="center" wrapText="1"/>
    </xf>
    <xf numFmtId="0" fontId="17" fillId="8" borderId="15" xfId="0" applyFont="1" applyFill="1" applyBorder="1" applyAlignment="1" applyProtection="1">
      <alignment horizontal="right" vertical="center" wrapText="1"/>
    </xf>
    <xf numFmtId="43" fontId="41" fillId="11" borderId="0" xfId="1" applyFont="1" applyFill="1" applyBorder="1" applyAlignment="1" applyProtection="1">
      <alignment horizontal="right" vertical="center"/>
      <protection hidden="1"/>
    </xf>
    <xf numFmtId="10" fontId="19" fillId="8" borderId="15" xfId="2" applyNumberFormat="1" applyFont="1" applyFill="1" applyBorder="1" applyAlignment="1" applyProtection="1">
      <alignment horizontal="right" vertical="center"/>
    </xf>
    <xf numFmtId="0" fontId="134" fillId="11" borderId="0" xfId="0" applyFont="1" applyFill="1" applyBorder="1" applyAlignment="1" applyProtection="1">
      <alignment horizontal="center" vertical="center"/>
      <protection hidden="1"/>
    </xf>
    <xf numFmtId="43" fontId="17" fillId="8" borderId="30" xfId="1" applyFont="1" applyFill="1" applyBorder="1" applyAlignment="1" applyProtection="1">
      <alignment horizontal="center"/>
    </xf>
    <xf numFmtId="10" fontId="71" fillId="8" borderId="15" xfId="2" applyNumberFormat="1" applyFont="1" applyFill="1" applyBorder="1" applyAlignment="1" applyProtection="1">
      <alignment horizontal="right" vertical="center"/>
    </xf>
    <xf numFmtId="0" fontId="0" fillId="11" borderId="0" xfId="0" applyFill="1"/>
    <xf numFmtId="4" fontId="53" fillId="11" borderId="32" xfId="1" applyNumberFormat="1" applyFont="1" applyFill="1" applyBorder="1" applyAlignment="1" applyProtection="1">
      <alignment horizontal="center" vertical="center"/>
      <protection hidden="1"/>
    </xf>
    <xf numFmtId="4" fontId="53" fillId="11" borderId="59" xfId="1" applyNumberFormat="1" applyFont="1" applyFill="1" applyBorder="1" applyAlignment="1" applyProtection="1">
      <alignment horizontal="center" vertical="center"/>
      <protection hidden="1"/>
    </xf>
    <xf numFmtId="4" fontId="81" fillId="11" borderId="32" xfId="1" applyNumberFormat="1" applyFont="1" applyFill="1" applyBorder="1" applyAlignment="1" applyProtection="1">
      <alignment horizontal="center" vertical="center"/>
      <protection hidden="1"/>
    </xf>
    <xf numFmtId="4" fontId="81" fillId="11" borderId="59" xfId="1" applyNumberFormat="1" applyFont="1" applyFill="1" applyBorder="1" applyAlignment="1" applyProtection="1">
      <alignment horizontal="center" vertical="center"/>
      <protection hidden="1"/>
    </xf>
    <xf numFmtId="4" fontId="211" fillId="11" borderId="58" xfId="1" applyNumberFormat="1" applyFont="1" applyFill="1" applyBorder="1" applyAlignment="1" applyProtection="1">
      <alignment horizontal="center" vertical="center"/>
      <protection hidden="1"/>
    </xf>
    <xf numFmtId="4" fontId="211" fillId="11" borderId="32" xfId="1" applyNumberFormat="1" applyFont="1" applyFill="1" applyBorder="1" applyAlignment="1" applyProtection="1">
      <alignment horizontal="center" vertical="center"/>
      <protection hidden="1"/>
    </xf>
    <xf numFmtId="3" fontId="182" fillId="15" borderId="32" xfId="1" applyNumberFormat="1" applyFont="1" applyFill="1" applyBorder="1" applyAlignment="1" applyProtection="1">
      <alignment horizontal="center" vertical="center" wrapText="1"/>
    </xf>
    <xf numFmtId="3" fontId="182" fillId="15" borderId="60" xfId="1" applyNumberFormat="1" applyFont="1" applyFill="1" applyBorder="1" applyAlignment="1" applyProtection="1">
      <alignment horizontal="center" vertical="center" wrapText="1"/>
    </xf>
    <xf numFmtId="3" fontId="182" fillId="15" borderId="15" xfId="1" applyNumberFormat="1" applyFont="1" applyFill="1" applyBorder="1" applyAlignment="1" applyProtection="1">
      <alignment horizontal="center" vertical="center" wrapText="1"/>
    </xf>
    <xf numFmtId="14" fontId="182" fillId="15" borderId="86" xfId="0" applyNumberFormat="1" applyFont="1" applyFill="1" applyBorder="1" applyAlignment="1" applyProtection="1">
      <alignment horizontal="center" vertical="center"/>
    </xf>
    <xf numFmtId="0" fontId="171" fillId="15" borderId="72" xfId="0" applyFont="1" applyFill="1" applyBorder="1" applyAlignment="1" applyProtection="1">
      <alignment horizontal="center" vertical="center"/>
    </xf>
    <xf numFmtId="166" fontId="26" fillId="15" borderId="72" xfId="0" applyNumberFormat="1" applyFont="1" applyFill="1" applyBorder="1" applyAlignment="1" applyProtection="1">
      <alignment horizontal="center" vertical="center"/>
    </xf>
    <xf numFmtId="166" fontId="26" fillId="15" borderId="84" xfId="0" applyNumberFormat="1" applyFont="1" applyFill="1" applyBorder="1" applyAlignment="1" applyProtection="1">
      <alignment horizontal="center" vertical="center"/>
    </xf>
    <xf numFmtId="166" fontId="81" fillId="11" borderId="32" xfId="0" applyNumberFormat="1" applyFont="1" applyFill="1" applyBorder="1" applyAlignment="1" applyProtection="1">
      <alignment horizontal="center" vertical="center" wrapText="1"/>
      <protection hidden="1"/>
    </xf>
    <xf numFmtId="166" fontId="81" fillId="11" borderId="59" xfId="0" applyNumberFormat="1" applyFont="1" applyFill="1" applyBorder="1" applyAlignment="1" applyProtection="1">
      <alignment horizontal="center" vertical="center" wrapText="1"/>
      <protection hidden="1"/>
    </xf>
    <xf numFmtId="43" fontId="212" fillId="11" borderId="58" xfId="1" applyFont="1" applyFill="1" applyBorder="1" applyAlignment="1" applyProtection="1">
      <alignment horizontal="center" vertical="center"/>
      <protection hidden="1"/>
    </xf>
    <xf numFmtId="43" fontId="212" fillId="11" borderId="32" xfId="1" applyFont="1" applyFill="1" applyBorder="1" applyAlignment="1" applyProtection="1">
      <alignment horizontal="center" vertical="center"/>
      <protection hidden="1"/>
    </xf>
    <xf numFmtId="3" fontId="182" fillId="15" borderId="94" xfId="1" applyNumberFormat="1" applyFont="1" applyFill="1" applyBorder="1" applyAlignment="1" applyProtection="1">
      <alignment horizontal="center" vertical="center" wrapText="1"/>
    </xf>
    <xf numFmtId="3" fontId="182" fillId="15" borderId="30" xfId="1" applyNumberFormat="1" applyFont="1" applyFill="1" applyBorder="1" applyAlignment="1" applyProtection="1">
      <alignment horizontal="center" vertical="center" wrapText="1"/>
    </xf>
    <xf numFmtId="0" fontId="196" fillId="8" borderId="0" xfId="0" applyFont="1" applyFill="1" applyBorder="1" applyAlignment="1">
      <alignment horizontal="center" vertical="center"/>
    </xf>
    <xf numFmtId="14" fontId="12" fillId="5" borderId="0" xfId="0" applyNumberFormat="1" applyFont="1" applyFill="1" applyBorder="1" applyAlignment="1">
      <alignment horizontal="center" vertical="center" wrapText="1"/>
    </xf>
    <xf numFmtId="14" fontId="12" fillId="5" borderId="0" xfId="0" applyNumberFormat="1" applyFont="1" applyFill="1" applyBorder="1" applyAlignment="1">
      <alignment horizontal="center" vertical="center"/>
    </xf>
    <xf numFmtId="4" fontId="81" fillId="11" borderId="58" xfId="1" applyNumberFormat="1" applyFont="1" applyFill="1" applyBorder="1" applyAlignment="1" applyProtection="1">
      <alignment horizontal="center" vertical="center"/>
      <protection hidden="1"/>
    </xf>
    <xf numFmtId="4" fontId="53" fillId="11" borderId="58" xfId="1" applyNumberFormat="1" applyFont="1" applyFill="1" applyBorder="1" applyAlignment="1" applyProtection="1">
      <alignment horizontal="center" vertical="center"/>
      <protection hidden="1"/>
    </xf>
    <xf numFmtId="43" fontId="17" fillId="8" borderId="15" xfId="1" applyFont="1" applyFill="1" applyBorder="1" applyAlignment="1" applyProtection="1">
      <alignment horizontal="right" vertical="center"/>
      <protection hidden="1"/>
    </xf>
    <xf numFmtId="10" fontId="71" fillId="8" borderId="15" xfId="2" applyNumberFormat="1" applyFont="1" applyFill="1" applyBorder="1" applyAlignment="1" applyProtection="1">
      <alignment horizontal="right" vertical="center"/>
      <protection hidden="1"/>
    </xf>
    <xf numFmtId="14" fontId="182" fillId="15" borderId="91" xfId="0" applyNumberFormat="1" applyFont="1" applyFill="1" applyBorder="1" applyAlignment="1" applyProtection="1">
      <alignment horizontal="center" vertical="center"/>
    </xf>
    <xf numFmtId="0" fontId="171" fillId="15" borderId="92" xfId="0" applyFont="1" applyFill="1" applyBorder="1" applyAlignment="1" applyProtection="1">
      <alignment horizontal="center" vertical="center"/>
    </xf>
    <xf numFmtId="166" fontId="26" fillId="15" borderId="92" xfId="0" applyNumberFormat="1" applyFont="1" applyFill="1" applyBorder="1" applyAlignment="1" applyProtection="1">
      <alignment horizontal="center" vertical="center"/>
    </xf>
    <xf numFmtId="166" fontId="26" fillId="15" borderId="93" xfId="0" applyNumberFormat="1" applyFont="1" applyFill="1" applyBorder="1" applyAlignment="1" applyProtection="1">
      <alignment horizontal="center" vertical="center"/>
    </xf>
    <xf numFmtId="166" fontId="81" fillId="11" borderId="58" xfId="0" applyNumberFormat="1" applyFont="1" applyFill="1" applyBorder="1" applyAlignment="1" applyProtection="1">
      <alignment horizontal="center" vertical="center" wrapText="1"/>
      <protection hidden="1"/>
    </xf>
    <xf numFmtId="0" fontId="17" fillId="8" borderId="15" xfId="0" applyFont="1" applyFill="1" applyBorder="1" applyAlignment="1" applyProtection="1">
      <alignment horizontal="right" vertical="center" wrapText="1"/>
      <protection hidden="1"/>
    </xf>
    <xf numFmtId="43" fontId="17" fillId="8" borderId="15" xfId="1" applyFont="1" applyFill="1" applyBorder="1" applyAlignment="1" applyProtection="1">
      <alignment horizontal="right" vertical="center" wrapText="1"/>
      <protection hidden="1"/>
    </xf>
    <xf numFmtId="10" fontId="19" fillId="8" borderId="15" xfId="2" applyNumberFormat="1" applyFont="1" applyFill="1" applyBorder="1" applyAlignment="1" applyProtection="1">
      <alignment horizontal="right" vertical="center"/>
      <protection hidden="1"/>
    </xf>
    <xf numFmtId="10" fontId="137" fillId="12" borderId="17" xfId="2" applyNumberFormat="1" applyFont="1" applyFill="1" applyBorder="1" applyAlignment="1" applyProtection="1">
      <alignment horizontal="center"/>
      <protection hidden="1"/>
    </xf>
    <xf numFmtId="10" fontId="137" fillId="12" borderId="18" xfId="2" applyNumberFormat="1" applyFont="1" applyFill="1" applyBorder="1" applyAlignment="1" applyProtection="1">
      <alignment horizontal="center"/>
      <protection hidden="1"/>
    </xf>
    <xf numFmtId="170" fontId="37" fillId="11" borderId="16" xfId="1" applyNumberFormat="1" applyFont="1" applyFill="1" applyBorder="1" applyAlignment="1" applyProtection="1">
      <alignment horizontal="center"/>
      <protection hidden="1"/>
    </xf>
    <xf numFmtId="170" fontId="37" fillId="11" borderId="17" xfId="1" applyNumberFormat="1" applyFont="1" applyFill="1" applyBorder="1" applyAlignment="1" applyProtection="1">
      <alignment horizontal="center"/>
      <protection hidden="1"/>
    </xf>
    <xf numFmtId="10" fontId="138" fillId="11" borderId="39" xfId="2" applyNumberFormat="1" applyFont="1" applyFill="1" applyBorder="1" applyAlignment="1" applyProtection="1">
      <alignment horizontal="center"/>
      <protection hidden="1"/>
    </xf>
    <xf numFmtId="10" fontId="138" fillId="11" borderId="40" xfId="2" applyNumberFormat="1" applyFont="1" applyFill="1" applyBorder="1" applyAlignment="1" applyProtection="1">
      <alignment horizontal="center"/>
      <protection hidden="1"/>
    </xf>
    <xf numFmtId="10" fontId="75" fillId="11" borderId="16" xfId="2" applyNumberFormat="1" applyFont="1" applyFill="1" applyBorder="1" applyAlignment="1">
      <alignment horizontal="center"/>
    </xf>
    <xf numFmtId="10" fontId="75" fillId="11" borderId="17" xfId="2" applyNumberFormat="1" applyFont="1" applyFill="1" applyBorder="1" applyAlignment="1">
      <alignment horizontal="center"/>
    </xf>
    <xf numFmtId="170" fontId="37" fillId="11" borderId="18" xfId="1" applyNumberFormat="1" applyFont="1" applyFill="1" applyBorder="1" applyAlignment="1" applyProtection="1">
      <alignment horizontal="center"/>
      <protection hidden="1"/>
    </xf>
    <xf numFmtId="10" fontId="138" fillId="11" borderId="41" xfId="2" applyNumberFormat="1" applyFont="1" applyFill="1" applyBorder="1" applyAlignment="1" applyProtection="1">
      <alignment horizontal="center"/>
      <protection hidden="1"/>
    </xf>
    <xf numFmtId="10" fontId="75" fillId="11" borderId="18" xfId="2" applyNumberFormat="1" applyFont="1" applyFill="1" applyBorder="1" applyAlignment="1">
      <alignment horizontal="center"/>
    </xf>
    <xf numFmtId="170" fontId="37" fillId="11" borderId="43" xfId="1" applyNumberFormat="1" applyFont="1" applyFill="1" applyBorder="1" applyAlignment="1" applyProtection="1">
      <alignment horizontal="center"/>
      <protection hidden="1"/>
    </xf>
    <xf numFmtId="170" fontId="37" fillId="11" borderId="44" xfId="1" applyNumberFormat="1" applyFont="1" applyFill="1" applyBorder="1" applyAlignment="1" applyProtection="1">
      <alignment horizontal="center"/>
      <protection hidden="1"/>
    </xf>
    <xf numFmtId="4" fontId="56" fillId="11" borderId="40" xfId="0" applyNumberFormat="1" applyFont="1" applyFill="1" applyBorder="1" applyAlignment="1" applyProtection="1">
      <alignment horizontal="center"/>
      <protection hidden="1"/>
    </xf>
    <xf numFmtId="4" fontId="56" fillId="11" borderId="41" xfId="0" applyNumberFormat="1" applyFont="1" applyFill="1" applyBorder="1" applyAlignment="1" applyProtection="1">
      <alignment horizontal="center"/>
      <protection hidden="1"/>
    </xf>
    <xf numFmtId="170" fontId="37" fillId="11" borderId="42" xfId="1" applyNumberFormat="1" applyFont="1" applyFill="1" applyBorder="1" applyAlignment="1" applyProtection="1">
      <alignment horizontal="center"/>
      <protection hidden="1"/>
    </xf>
    <xf numFmtId="4" fontId="56" fillId="11" borderId="39" xfId="0" applyNumberFormat="1" applyFont="1" applyFill="1" applyBorder="1" applyAlignment="1" applyProtection="1">
      <alignment horizontal="center"/>
      <protection hidden="1"/>
    </xf>
    <xf numFmtId="4" fontId="58" fillId="11" borderId="45" xfId="0" applyNumberFormat="1" applyFont="1" applyFill="1" applyBorder="1" applyAlignment="1" applyProtection="1">
      <alignment horizontal="center"/>
      <protection hidden="1"/>
    </xf>
    <xf numFmtId="4" fontId="58" fillId="11" borderId="46" xfId="0" applyNumberFormat="1" applyFont="1" applyFill="1" applyBorder="1" applyAlignment="1" applyProtection="1">
      <alignment horizontal="center"/>
      <protection hidden="1"/>
    </xf>
    <xf numFmtId="0" fontId="75" fillId="11" borderId="0" xfId="0" applyFont="1" applyFill="1" applyAlignment="1">
      <alignment horizontal="center" vertical="center"/>
    </xf>
    <xf numFmtId="10" fontId="192" fillId="12" borderId="0" xfId="2" applyNumberFormat="1" applyFont="1" applyFill="1" applyBorder="1" applyAlignment="1">
      <alignment horizontal="center" vertical="center"/>
    </xf>
    <xf numFmtId="10" fontId="54" fillId="12" borderId="0" xfId="0" applyNumberFormat="1" applyFont="1" applyFill="1" applyAlignment="1">
      <alignment horizontal="center" vertical="center"/>
    </xf>
    <xf numFmtId="9" fontId="136" fillId="11" borderId="0" xfId="2" applyFont="1" applyFill="1" applyBorder="1" applyAlignment="1" applyProtection="1">
      <alignment horizontal="center"/>
      <protection hidden="1"/>
    </xf>
    <xf numFmtId="43" fontId="56" fillId="8" borderId="37" xfId="1" applyFont="1" applyFill="1" applyBorder="1" applyAlignment="1">
      <alignment horizontal="center"/>
    </xf>
    <xf numFmtId="1" fontId="56" fillId="8" borderId="38" xfId="1" applyNumberFormat="1" applyFont="1" applyFill="1" applyBorder="1" applyAlignment="1">
      <alignment horizontal="center"/>
    </xf>
    <xf numFmtId="10" fontId="30" fillId="11" borderId="0" xfId="1" applyNumberFormat="1" applyFont="1" applyFill="1" applyBorder="1" applyAlignment="1">
      <alignment horizontal="center" vertical="center"/>
    </xf>
    <xf numFmtId="0" fontId="138" fillId="11" borderId="16" xfId="0" applyNumberFormat="1" applyFont="1" applyFill="1" applyBorder="1" applyAlignment="1" applyProtection="1">
      <alignment horizontal="center"/>
      <protection hidden="1"/>
    </xf>
    <xf numFmtId="0" fontId="138" fillId="11" borderId="17" xfId="0" applyNumberFormat="1" applyFont="1" applyFill="1" applyBorder="1" applyAlignment="1" applyProtection="1">
      <alignment horizontal="center"/>
      <protection hidden="1"/>
    </xf>
    <xf numFmtId="2" fontId="75" fillId="11" borderId="16" xfId="0" applyNumberFormat="1" applyFont="1" applyFill="1" applyBorder="1" applyAlignment="1" applyProtection="1">
      <alignment horizontal="center"/>
      <protection hidden="1"/>
    </xf>
    <xf numFmtId="2" fontId="75" fillId="11" borderId="17" xfId="0" applyNumberFormat="1" applyFont="1" applyFill="1" applyBorder="1" applyAlignment="1" applyProtection="1">
      <alignment horizontal="center"/>
      <protection hidden="1"/>
    </xf>
    <xf numFmtId="10" fontId="50" fillId="12" borderId="16" xfId="2" applyNumberFormat="1" applyFont="1" applyFill="1" applyBorder="1" applyAlignment="1" applyProtection="1">
      <alignment horizontal="center"/>
      <protection hidden="1"/>
    </xf>
    <xf numFmtId="10" fontId="50" fillId="12" borderId="17" xfId="2" applyNumberFormat="1" applyFont="1" applyFill="1" applyBorder="1" applyAlignment="1" applyProtection="1">
      <alignment horizontal="center"/>
      <protection hidden="1"/>
    </xf>
    <xf numFmtId="10" fontId="137" fillId="12" borderId="16" xfId="2" applyNumberFormat="1" applyFont="1" applyFill="1" applyBorder="1" applyAlignment="1" applyProtection="1">
      <alignment horizontal="center"/>
      <protection hidden="1"/>
    </xf>
    <xf numFmtId="10" fontId="142" fillId="11" borderId="0" xfId="1" applyNumberFormat="1" applyFont="1" applyFill="1" applyBorder="1" applyAlignment="1">
      <alignment horizontal="center" vertical="center"/>
    </xf>
    <xf numFmtId="0" fontId="138" fillId="11" borderId="18" xfId="0" applyNumberFormat="1" applyFont="1" applyFill="1" applyBorder="1" applyAlignment="1" applyProtection="1">
      <alignment horizontal="center"/>
      <protection hidden="1"/>
    </xf>
    <xf numFmtId="2" fontId="75" fillId="11" borderId="18" xfId="0" applyNumberFormat="1" applyFont="1" applyFill="1" applyBorder="1" applyAlignment="1" applyProtection="1">
      <alignment horizontal="center"/>
      <protection hidden="1"/>
    </xf>
    <xf numFmtId="4" fontId="58" fillId="11" borderId="47" xfId="0" applyNumberFormat="1" applyFont="1" applyFill="1" applyBorder="1" applyAlignment="1" applyProtection="1">
      <alignment horizontal="center"/>
      <protection hidden="1"/>
    </xf>
    <xf numFmtId="10" fontId="50" fillId="12" borderId="18" xfId="2" applyNumberFormat="1" applyFont="1" applyFill="1" applyBorder="1" applyAlignment="1" applyProtection="1">
      <alignment horizontal="center"/>
      <protection hidden="1"/>
    </xf>
    <xf numFmtId="0" fontId="123" fillId="11" borderId="0" xfId="0" applyFont="1" applyFill="1" applyAlignment="1">
      <alignment horizontal="center" vertical="center"/>
    </xf>
    <xf numFmtId="0" fontId="123" fillId="12" borderId="0" xfId="0" applyFont="1" applyFill="1" applyAlignment="1">
      <alignment horizontal="center" vertical="center"/>
    </xf>
    <xf numFmtId="0" fontId="203" fillId="11" borderId="0" xfId="0" applyFont="1" applyFill="1" applyBorder="1" applyAlignment="1" applyProtection="1">
      <alignment horizontal="center" vertical="center" wrapText="1"/>
      <protection hidden="1"/>
    </xf>
    <xf numFmtId="0" fontId="203" fillId="11" borderId="16" xfId="0" applyFont="1" applyFill="1" applyBorder="1" applyAlignment="1" applyProtection="1">
      <alignment horizontal="center" vertical="center" wrapText="1"/>
      <protection hidden="1"/>
    </xf>
    <xf numFmtId="43" fontId="41" fillId="11" borderId="0" xfId="1" applyFont="1" applyFill="1" applyBorder="1" applyAlignment="1" applyProtection="1">
      <alignment horizontal="center" vertical="center"/>
      <protection hidden="1"/>
    </xf>
    <xf numFmtId="43" fontId="57" fillId="8" borderId="0" xfId="1" applyFont="1" applyFill="1" applyBorder="1" applyAlignment="1" applyProtection="1">
      <alignment horizontal="center" vertical="center"/>
      <protection hidden="1"/>
    </xf>
    <xf numFmtId="0" fontId="167" fillId="11" borderId="0" xfId="0" applyFont="1" applyFill="1" applyBorder="1" applyAlignment="1" applyProtection="1">
      <alignment horizontal="center" vertical="center"/>
      <protection hidden="1"/>
    </xf>
    <xf numFmtId="0" fontId="183" fillId="8" borderId="77" xfId="5" applyFont="1" applyFill="1" applyBorder="1" applyAlignment="1" applyProtection="1">
      <alignment horizontal="center" vertical="center" wrapText="1"/>
      <protection hidden="1"/>
    </xf>
    <xf numFmtId="0" fontId="183" fillId="8" borderId="80" xfId="5" applyFont="1" applyFill="1" applyBorder="1" applyAlignment="1" applyProtection="1">
      <alignment horizontal="center" vertical="center" wrapText="1"/>
      <protection hidden="1"/>
    </xf>
    <xf numFmtId="10" fontId="195" fillId="8" borderId="0" xfId="5" applyNumberFormat="1" applyFont="1" applyFill="1" applyBorder="1" applyAlignment="1" applyProtection="1">
      <alignment horizontal="center" vertical="center"/>
      <protection hidden="1"/>
    </xf>
    <xf numFmtId="0" fontId="157" fillId="15" borderId="0" xfId="5" applyFont="1" applyFill="1" applyBorder="1" applyAlignment="1" applyProtection="1">
      <alignment horizontal="center" vertical="center"/>
      <protection hidden="1"/>
    </xf>
    <xf numFmtId="10" fontId="156" fillId="9" borderId="0" xfId="5" applyNumberFormat="1" applyFont="1" applyFill="1" applyBorder="1" applyAlignment="1" applyProtection="1">
      <alignment horizontal="center" vertical="center" wrapText="1"/>
      <protection hidden="1"/>
    </xf>
    <xf numFmtId="10" fontId="156" fillId="17" borderId="0" xfId="5" applyNumberFormat="1" applyFont="1" applyFill="1" applyBorder="1" applyAlignment="1" applyProtection="1">
      <alignment horizontal="center" vertical="center" wrapText="1"/>
      <protection hidden="1"/>
    </xf>
    <xf numFmtId="0" fontId="194" fillId="8" borderId="0" xfId="5" applyFont="1" applyFill="1" applyBorder="1" applyAlignment="1" applyProtection="1">
      <alignment horizontal="center" vertical="center" wrapText="1"/>
      <protection hidden="1"/>
    </xf>
    <xf numFmtId="0" fontId="194" fillId="8" borderId="0" xfId="5" applyFont="1" applyFill="1" applyBorder="1" applyAlignment="1" applyProtection="1">
      <alignment horizontal="center" vertical="center"/>
      <protection hidden="1"/>
    </xf>
    <xf numFmtId="0" fontId="195" fillId="8" borderId="0" xfId="5" applyFont="1" applyFill="1" applyBorder="1" applyAlignment="1" applyProtection="1">
      <alignment horizontal="center" vertical="center"/>
      <protection hidden="1"/>
    </xf>
    <xf numFmtId="0" fontId="39" fillId="11" borderId="0" xfId="0" applyFont="1" applyFill="1" applyAlignment="1">
      <alignment horizontal="right" vertical="center" wrapText="1"/>
    </xf>
    <xf numFmtId="43" fontId="19" fillId="11" borderId="0" xfId="1" applyFont="1" applyFill="1" applyBorder="1" applyAlignment="1" applyProtection="1">
      <alignment horizontal="center" vertical="center"/>
      <protection hidden="1"/>
    </xf>
    <xf numFmtId="43" fontId="167" fillId="11" borderId="0" xfId="1" applyFont="1" applyFill="1" applyBorder="1" applyAlignment="1" applyProtection="1">
      <alignment horizontal="center" vertical="center"/>
      <protection hidden="1"/>
    </xf>
    <xf numFmtId="44" fontId="51" fillId="11" borderId="0" xfId="4" applyFont="1" applyFill="1" applyBorder="1" applyAlignment="1" applyProtection="1">
      <alignment horizontal="center" vertical="center" wrapText="1"/>
      <protection hidden="1"/>
    </xf>
    <xf numFmtId="10" fontId="175" fillId="11" borderId="0" xfId="5" applyNumberFormat="1" applyFont="1" applyFill="1" applyBorder="1" applyAlignment="1" applyProtection="1">
      <alignment horizontal="center" wrapText="1"/>
      <protection hidden="1"/>
    </xf>
    <xf numFmtId="10" fontId="167" fillId="11" borderId="0" xfId="5" applyNumberFormat="1" applyFont="1" applyFill="1" applyBorder="1" applyAlignment="1" applyProtection="1">
      <alignment horizontal="center" wrapText="1"/>
      <protection hidden="1"/>
    </xf>
    <xf numFmtId="10" fontId="169" fillId="12" borderId="88" xfId="5" applyNumberFormat="1" applyFont="1" applyFill="1" applyBorder="1" applyAlignment="1" applyProtection="1">
      <alignment horizontal="center" vertical="center" wrapText="1"/>
      <protection hidden="1"/>
    </xf>
    <xf numFmtId="10" fontId="169" fillId="12" borderId="89" xfId="5" applyNumberFormat="1" applyFont="1" applyFill="1" applyBorder="1" applyAlignment="1" applyProtection="1">
      <alignment horizontal="center" vertical="center" wrapText="1"/>
      <protection hidden="1"/>
    </xf>
    <xf numFmtId="10" fontId="169" fillId="8" borderId="89" xfId="5" applyNumberFormat="1" applyFont="1" applyFill="1" applyBorder="1" applyAlignment="1" applyProtection="1">
      <alignment horizontal="center" vertical="center" wrapText="1"/>
      <protection hidden="1"/>
    </xf>
    <xf numFmtId="10" fontId="169" fillId="8" borderId="90" xfId="5" applyNumberFormat="1" applyFont="1" applyFill="1" applyBorder="1" applyAlignment="1" applyProtection="1">
      <alignment horizontal="center" vertical="center" wrapText="1"/>
      <protection hidden="1"/>
    </xf>
    <xf numFmtId="10" fontId="158" fillId="11" borderId="0" xfId="2" applyNumberFormat="1" applyFont="1" applyFill="1" applyBorder="1" applyAlignment="1" applyProtection="1">
      <alignment horizontal="right" vertical="center" wrapText="1"/>
      <protection hidden="1"/>
    </xf>
    <xf numFmtId="0" fontId="35" fillId="18" borderId="0" xfId="5" applyFont="1" applyFill="1" applyBorder="1" applyAlignment="1" applyProtection="1">
      <alignment horizontal="center" vertical="center" wrapText="1"/>
      <protection hidden="1"/>
    </xf>
    <xf numFmtId="0" fontId="35" fillId="18" borderId="54" xfId="5" applyFont="1" applyFill="1" applyBorder="1" applyAlignment="1" applyProtection="1">
      <alignment horizontal="center" vertical="center" wrapText="1"/>
      <protection hidden="1"/>
    </xf>
    <xf numFmtId="0" fontId="35" fillId="18" borderId="55" xfId="5" applyFont="1" applyFill="1" applyBorder="1" applyAlignment="1" applyProtection="1">
      <alignment horizontal="center" vertical="center" wrapText="1"/>
      <protection hidden="1"/>
    </xf>
    <xf numFmtId="10" fontId="179" fillId="8" borderId="0" xfId="5" applyNumberFormat="1" applyFont="1" applyFill="1" applyBorder="1" applyAlignment="1" applyProtection="1">
      <alignment horizontal="right" vertical="center" wrapText="1"/>
      <protection hidden="1"/>
    </xf>
    <xf numFmtId="172" fontId="189" fillId="9" borderId="68" xfId="5" applyNumberFormat="1" applyFont="1" applyFill="1" applyBorder="1" applyAlignment="1" applyProtection="1">
      <alignment horizontal="center" vertical="center"/>
      <protection hidden="1"/>
    </xf>
    <xf numFmtId="172" fontId="189" fillId="9" borderId="0" xfId="5" applyNumberFormat="1" applyFont="1" applyFill="1" applyBorder="1" applyAlignment="1" applyProtection="1">
      <alignment horizontal="center" vertical="center"/>
      <protection hidden="1"/>
    </xf>
    <xf numFmtId="44" fontId="51" fillId="11" borderId="0" xfId="4" applyFont="1" applyFill="1" applyBorder="1" applyAlignment="1" applyProtection="1">
      <alignment vertical="center" wrapText="1"/>
      <protection hidden="1"/>
    </xf>
    <xf numFmtId="44" fontId="158" fillId="11" borderId="0" xfId="4" applyFont="1" applyFill="1" applyBorder="1" applyAlignment="1" applyProtection="1">
      <alignment horizontal="right" vertical="center" wrapText="1"/>
      <protection hidden="1"/>
    </xf>
    <xf numFmtId="14" fontId="169" fillId="8" borderId="75" xfId="5" applyNumberFormat="1" applyFont="1" applyFill="1" applyBorder="1" applyAlignment="1" applyProtection="1">
      <alignment horizontal="center" vertical="center" wrapText="1"/>
      <protection hidden="1"/>
    </xf>
    <xf numFmtId="14" fontId="169" fillId="8" borderId="78" xfId="5" applyNumberFormat="1" applyFont="1" applyFill="1" applyBorder="1" applyAlignment="1" applyProtection="1">
      <alignment horizontal="center" vertical="center" wrapText="1"/>
      <protection hidden="1"/>
    </xf>
    <xf numFmtId="14" fontId="169" fillId="8" borderId="76" xfId="5" applyNumberFormat="1" applyFont="1" applyFill="1" applyBorder="1" applyAlignment="1" applyProtection="1">
      <alignment horizontal="center" vertical="center" wrapText="1"/>
      <protection hidden="1"/>
    </xf>
    <xf numFmtId="14" fontId="169" fillId="8" borderId="79" xfId="5" applyNumberFormat="1" applyFont="1" applyFill="1" applyBorder="1" applyAlignment="1" applyProtection="1">
      <alignment horizontal="center" vertical="center" wrapText="1"/>
      <protection hidden="1"/>
    </xf>
    <xf numFmtId="0" fontId="169" fillId="8" borderId="76" xfId="5" applyFont="1" applyFill="1" applyBorder="1" applyAlignment="1" applyProtection="1">
      <alignment horizontal="center" vertical="center" wrapText="1"/>
      <protection hidden="1"/>
    </xf>
    <xf numFmtId="0" fontId="169" fillId="8" borderId="79" xfId="5" applyFont="1" applyFill="1" applyBorder="1" applyAlignment="1" applyProtection="1">
      <alignment horizontal="center" vertical="center" wrapText="1"/>
      <protection hidden="1"/>
    </xf>
    <xf numFmtId="0" fontId="97" fillId="0" borderId="0" xfId="0" applyFont="1" applyAlignment="1">
      <alignment horizontal="center" vertical="top"/>
    </xf>
    <xf numFmtId="0" fontId="97" fillId="0" borderId="0" xfId="0" applyFont="1" applyAlignment="1">
      <alignment horizontal="left" wrapText="1"/>
    </xf>
    <xf numFmtId="0" fontId="96" fillId="0" borderId="0" xfId="0" applyFont="1" applyAlignment="1">
      <alignment horizontal="center"/>
    </xf>
    <xf numFmtId="0" fontId="57" fillId="11" borderId="0" xfId="0" applyFont="1" applyFill="1" applyBorder="1" applyAlignment="1">
      <alignment horizontal="center" vertical="top"/>
    </xf>
    <xf numFmtId="0" fontId="97" fillId="0" borderId="0" xfId="0" applyFont="1" applyAlignment="1">
      <alignment horizontal="left" vertical="center" wrapText="1"/>
    </xf>
    <xf numFmtId="0" fontId="96" fillId="0" borderId="0" xfId="0" applyFont="1" applyAlignment="1">
      <alignment horizontal="left" wrapText="1"/>
    </xf>
    <xf numFmtId="0" fontId="59" fillId="10" borderId="29" xfId="3" applyFont="1" applyFill="1" applyBorder="1" applyAlignment="1">
      <alignment horizontal="center" vertical="center"/>
    </xf>
    <xf numFmtId="0" fontId="59" fillId="10" borderId="0" xfId="3" applyFont="1" applyFill="1" applyBorder="1" applyAlignment="1">
      <alignment horizontal="center" vertical="center"/>
    </xf>
    <xf numFmtId="0" fontId="77" fillId="11" borderId="0" xfId="0" applyFont="1" applyFill="1" applyAlignment="1">
      <alignment horizontal="left" vertical="top" wrapText="1"/>
    </xf>
    <xf numFmtId="0" fontId="100" fillId="11" borderId="0" xfId="0" applyFont="1" applyFill="1" applyAlignment="1">
      <alignment horizontal="center" vertical="center"/>
    </xf>
    <xf numFmtId="0" fontId="56" fillId="11" borderId="33" xfId="0" applyFont="1" applyFill="1" applyBorder="1" applyAlignment="1">
      <alignment horizontal="center"/>
    </xf>
    <xf numFmtId="0" fontId="56" fillId="11" borderId="34" xfId="0" applyFont="1" applyFill="1" applyBorder="1" applyAlignment="1">
      <alignment horizontal="center"/>
    </xf>
    <xf numFmtId="0" fontId="56" fillId="11" borderId="35" xfId="0" applyFont="1" applyFill="1" applyBorder="1" applyAlignment="1">
      <alignment horizontal="center"/>
    </xf>
    <xf numFmtId="0" fontId="97" fillId="0" borderId="0" xfId="0" applyFont="1" applyAlignment="1">
      <alignment horizontal="left"/>
    </xf>
    <xf numFmtId="0" fontId="96" fillId="0" borderId="0" xfId="0" applyFont="1" applyAlignment="1">
      <alignment horizontal="left" vertical="top" wrapText="1"/>
    </xf>
    <xf numFmtId="0" fontId="115" fillId="14" borderId="33" xfId="0" applyFont="1" applyFill="1" applyBorder="1" applyAlignment="1">
      <alignment horizontal="center"/>
    </xf>
    <xf numFmtId="0" fontId="115" fillId="14" borderId="34" xfId="0" applyFont="1" applyFill="1" applyBorder="1" applyAlignment="1">
      <alignment horizontal="center"/>
    </xf>
    <xf numFmtId="0" fontId="115" fillId="14" borderId="35" xfId="0" applyFont="1" applyFill="1" applyBorder="1" applyAlignment="1">
      <alignment horizontal="center"/>
    </xf>
    <xf numFmtId="0" fontId="115" fillId="6" borderId="33" xfId="0" applyFont="1" applyFill="1" applyBorder="1" applyAlignment="1">
      <alignment horizontal="center"/>
    </xf>
    <xf numFmtId="0" fontId="115" fillId="6" borderId="34" xfId="0" applyFont="1" applyFill="1" applyBorder="1" applyAlignment="1">
      <alignment horizontal="center"/>
    </xf>
    <xf numFmtId="0" fontId="115" fillId="6" borderId="35" xfId="0" applyFont="1" applyFill="1" applyBorder="1" applyAlignment="1">
      <alignment horizontal="center"/>
    </xf>
    <xf numFmtId="0" fontId="115" fillId="13" borderId="33" xfId="0" applyFont="1" applyFill="1" applyBorder="1" applyAlignment="1">
      <alignment horizontal="center"/>
    </xf>
    <xf numFmtId="0" fontId="115" fillId="13" borderId="34" xfId="0" applyFont="1" applyFill="1" applyBorder="1" applyAlignment="1">
      <alignment horizontal="center"/>
    </xf>
    <xf numFmtId="0" fontId="115" fillId="13" borderId="35" xfId="0" applyFont="1" applyFill="1" applyBorder="1" applyAlignment="1">
      <alignment horizontal="center"/>
    </xf>
  </cellXfs>
  <cellStyles count="8">
    <cellStyle name="Comma" xfId="1" builtinId="3"/>
    <cellStyle name="Comma 2" xfId="6" xr:uid="{7E1B5FA7-B82E-404F-836C-3D17786C97AC}"/>
    <cellStyle name="Currency" xfId="4" builtinId="4"/>
    <cellStyle name="Hyperlink" xfId="3" builtinId="8"/>
    <cellStyle name="Normal" xfId="0" builtinId="0"/>
    <cellStyle name="Normal 2" xfId="5" xr:uid="{F004E0AD-FBF5-483F-A142-8371175CECC1}"/>
    <cellStyle name="Percent" xfId="2" builtinId="5"/>
    <cellStyle name="Percent 2" xfId="7" xr:uid="{CF0B301A-3E58-4A86-8046-4878AC0D99EA}"/>
  </cellStyles>
  <dxfs count="201">
    <dxf>
      <font>
        <color theme="0"/>
      </font>
      <fill>
        <patternFill>
          <bgColor rgb="FF00B050"/>
        </patternFill>
      </fill>
    </dxf>
    <dxf>
      <font>
        <color theme="0"/>
      </font>
      <fill>
        <patternFill>
          <bgColor rgb="FFC00000"/>
        </patternFill>
      </fill>
    </dxf>
    <dxf>
      <font>
        <color theme="0"/>
      </font>
      <fill>
        <patternFill>
          <bgColor rgb="FF00B050"/>
        </patternFill>
      </fill>
    </dxf>
    <dxf>
      <font>
        <color theme="0"/>
      </font>
      <fill>
        <patternFill>
          <bgColor rgb="FFC00000"/>
        </patternFill>
      </fill>
    </dxf>
    <dxf>
      <font>
        <color theme="0"/>
      </font>
      <fill>
        <patternFill>
          <bgColor rgb="FF00B050"/>
        </patternFill>
      </fill>
    </dxf>
    <dxf>
      <font>
        <color theme="0"/>
      </font>
      <fill>
        <patternFill>
          <bgColor rgb="FFC00000"/>
        </patternFill>
      </fill>
    </dxf>
    <dxf>
      <font>
        <color rgb="FF00B050"/>
      </font>
      <fill>
        <patternFill>
          <bgColor theme="1" tint="4.9989318521683403E-2"/>
        </patternFill>
      </fill>
    </dxf>
    <dxf>
      <font>
        <color rgb="FF00B050"/>
      </font>
      <fill>
        <patternFill>
          <bgColor theme="1" tint="4.9989318521683403E-2"/>
        </patternFill>
      </fill>
    </dxf>
    <dxf>
      <font>
        <color rgb="FF00B050"/>
      </font>
      <fill>
        <patternFill>
          <bgColor theme="1" tint="4.9989318521683403E-2"/>
        </patternFill>
      </fill>
    </dxf>
    <dxf>
      <font>
        <color rgb="FFDE2D26"/>
      </font>
      <fill>
        <patternFill>
          <bgColor theme="1" tint="4.9989318521683403E-2"/>
        </patternFill>
      </fill>
    </dxf>
    <dxf>
      <font>
        <color theme="0"/>
      </font>
      <fill>
        <patternFill>
          <bgColor rgb="FF00B050"/>
        </patternFill>
      </fill>
    </dxf>
    <dxf>
      <font>
        <color theme="0"/>
      </font>
      <fill>
        <patternFill>
          <bgColor rgb="FFC00000"/>
        </patternFill>
      </fill>
    </dxf>
    <dxf>
      <font>
        <color rgb="FF00B050"/>
      </font>
    </dxf>
    <dxf>
      <font>
        <color rgb="FFDE2D26"/>
      </font>
    </dxf>
    <dxf>
      <font>
        <color rgb="FFDE2D26"/>
      </font>
    </dxf>
    <dxf>
      <font>
        <color rgb="FFDE2D26"/>
      </font>
    </dxf>
    <dxf>
      <font>
        <color rgb="FF00B050"/>
      </font>
    </dxf>
    <dxf>
      <font>
        <color rgb="FFDE2D26"/>
      </font>
    </dxf>
    <dxf>
      <font>
        <color rgb="FFDE2D26"/>
      </font>
    </dxf>
    <dxf>
      <font>
        <color rgb="FFDE2D26"/>
      </font>
    </dxf>
    <dxf>
      <font>
        <color rgb="FF00B050"/>
      </font>
    </dxf>
    <dxf>
      <font>
        <color rgb="FF00B050"/>
      </font>
    </dxf>
    <dxf>
      <font>
        <b/>
        <i val="0"/>
        <color theme="0"/>
      </font>
      <fill>
        <patternFill>
          <bgColor rgb="FFDE2D26"/>
        </patternFill>
      </fill>
    </dxf>
    <dxf>
      <font>
        <color rgb="FF00B050"/>
      </font>
    </dxf>
    <dxf>
      <font>
        <color rgb="FFFF3737"/>
      </font>
    </dxf>
    <dxf>
      <font>
        <color rgb="FF00B050"/>
      </font>
    </dxf>
    <dxf>
      <font>
        <color theme="1" tint="0.24994659260841701"/>
      </font>
    </dxf>
    <dxf>
      <font>
        <color rgb="FF00B050"/>
      </font>
    </dxf>
    <dxf>
      <font>
        <color theme="0"/>
      </font>
      <fill>
        <patternFill>
          <bgColor rgb="FF00B050"/>
        </patternFill>
      </fill>
    </dxf>
    <dxf>
      <fill>
        <patternFill>
          <bgColor theme="2" tint="-0.89996032593768116"/>
        </patternFill>
      </fill>
    </dxf>
    <dxf>
      <font>
        <color rgb="FF00B050"/>
      </font>
      <fill>
        <patternFill patternType="solid">
          <bgColor theme="2" tint="-0.89996032593768116"/>
        </patternFill>
      </fill>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ont>
        <b/>
        <i val="0"/>
        <color theme="1" tint="0.14993743705557422"/>
      </font>
      <fill>
        <patternFill>
          <bgColor rgb="FFEA837E"/>
        </patternFill>
      </fill>
      <border>
        <left style="thin">
          <color theme="1" tint="4.9989318521683403E-2"/>
        </left>
        <right style="thin">
          <color theme="1" tint="4.9989318521683403E-2"/>
        </right>
        <top style="thin">
          <color theme="1" tint="4.9989318521683403E-2"/>
        </top>
        <bottom style="thin">
          <color theme="1" tint="4.9989318521683403E-2"/>
        </bottom>
      </border>
    </dxf>
    <dxf>
      <font>
        <b/>
        <i val="0"/>
        <color theme="1" tint="0.14993743705557422"/>
      </font>
      <fill>
        <patternFill>
          <bgColor rgb="FF4BC972"/>
        </patternFill>
      </fill>
      <border>
        <left style="thin">
          <color theme="1" tint="4.9989318521683403E-2"/>
        </left>
        <right style="thin">
          <color theme="1" tint="4.9989318521683403E-2"/>
        </right>
        <top style="thin">
          <color theme="1" tint="4.9989318521683403E-2"/>
        </top>
        <bottom style="thin">
          <color theme="1" tint="4.9989318521683403E-2"/>
        </bottom>
      </border>
    </dxf>
    <dxf>
      <font>
        <b/>
        <i val="0"/>
        <color theme="1" tint="0.14996795556505021"/>
      </font>
      <fill>
        <patternFill>
          <bgColor theme="0" tint="-0.24994659260841701"/>
        </patternFill>
      </fill>
      <border>
        <left style="thin">
          <color theme="1" tint="4.9989318521683403E-2"/>
        </left>
        <right style="thin">
          <color theme="1" tint="4.9989318521683403E-2"/>
        </right>
        <top style="thin">
          <color theme="1" tint="4.9989318521683403E-2"/>
        </top>
        <bottom style="thin">
          <color theme="1" tint="4.9989318521683403E-2"/>
        </bottom>
      </border>
    </dxf>
    <dxf>
      <font>
        <color theme="0" tint="-0.34998626667073579"/>
      </font>
      <fill>
        <patternFill>
          <bgColor theme="1" tint="4.9989318521683403E-2"/>
        </patternFill>
      </fill>
      <border>
        <left/>
        <right/>
        <top/>
        <bottom/>
      </border>
    </dxf>
    <dxf>
      <font>
        <color rgb="FF9C0006"/>
      </font>
      <fill>
        <patternFill>
          <bgColor rgb="FFFFC7CE"/>
        </patternFill>
      </fill>
    </dxf>
    <dxf>
      <font>
        <color rgb="FF9C0006"/>
      </font>
      <fill>
        <patternFill>
          <bgColor rgb="FFFFC7CE"/>
        </patternFill>
      </fill>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ont>
        <color rgb="FF9C0006"/>
      </font>
      <fill>
        <patternFill>
          <bgColor rgb="FFFFC7CE"/>
        </patternFill>
      </fill>
    </dxf>
    <dxf>
      <font>
        <color rgb="FF9C0006"/>
      </font>
      <fill>
        <patternFill>
          <bgColor rgb="FFFFC7CE"/>
        </patternFill>
      </fill>
    </dxf>
    <dxf>
      <font>
        <color theme="1" tint="4.9989318521683403E-2"/>
      </font>
      <fill>
        <patternFill>
          <bgColor rgb="FF4BC972"/>
        </patternFill>
      </fill>
    </dxf>
    <dxf>
      <fill>
        <patternFill>
          <bgColor rgb="FF212121"/>
        </patternFill>
      </fill>
    </dxf>
    <dxf>
      <font>
        <color theme="1" tint="4.9989318521683403E-2"/>
      </font>
      <fill>
        <patternFill>
          <bgColor rgb="FFEA837E"/>
        </patternFill>
      </fill>
    </dxf>
    <dxf>
      <fill>
        <patternFill>
          <bgColor rgb="FF212121"/>
        </patternFill>
      </fill>
    </dxf>
    <dxf>
      <font>
        <b/>
        <i val="0"/>
        <color rgb="FFFF0000"/>
      </font>
    </dxf>
    <dxf>
      <font>
        <b/>
        <i val="0"/>
        <color rgb="FFFF0000"/>
      </font>
    </dxf>
    <dxf>
      <font>
        <b/>
        <i val="0"/>
        <color rgb="FFFF0000"/>
      </font>
    </dxf>
    <dxf>
      <font>
        <b/>
        <i val="0"/>
        <color rgb="FFFF0000"/>
      </font>
    </dxf>
    <dxf>
      <font>
        <color rgb="FFDE2D26"/>
      </font>
    </dxf>
    <dxf>
      <font>
        <color rgb="FF171717"/>
      </font>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ont>
        <b/>
        <i val="0"/>
        <color rgb="FF31A354"/>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dxf>
    <dxf>
      <font>
        <b/>
        <i val="0"/>
        <color rgb="FFDE2D26"/>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dxf>
    <dxf>
      <font>
        <color theme="0" tint="-4.9989318521683403E-2"/>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border>
        <left style="thin">
          <color theme="1" tint="4.9989318521683403E-2"/>
        </left>
        <right style="thin">
          <color theme="1" tint="4.9989318521683403E-2"/>
        </right>
        <top style="thin">
          <color theme="1" tint="4.9989318521683403E-2"/>
        </top>
        <bottom style="thin">
          <color theme="1" tint="4.9989318521683403E-2"/>
        </bottom>
      </border>
    </dxf>
    <dxf>
      <font>
        <color rgb="FF171717"/>
      </font>
    </dxf>
    <dxf>
      <fill>
        <patternFill>
          <bgColor theme="1" tint="0.14996795556505021"/>
        </patternFill>
      </fill>
      <border>
        <top style="thin">
          <color theme="1" tint="4.9989318521683403E-2"/>
        </top>
        <bottom style="thin">
          <color theme="1" tint="4.9989318521683403E-2"/>
        </bottom>
      </border>
    </dxf>
    <dxf>
      <fill>
        <patternFill>
          <bgColor theme="1" tint="4.9989318521683403E-2"/>
        </patternFill>
      </fill>
      <border>
        <left/>
        <right/>
        <top/>
        <bottom/>
      </border>
    </dxf>
    <dxf>
      <font>
        <color rgb="FF17171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4.9989318521683403E-2"/>
      </font>
    </dxf>
    <dxf>
      <font>
        <color rgb="FF9C0006"/>
      </font>
      <fill>
        <patternFill>
          <bgColor rgb="FFFFC7CE"/>
        </patternFill>
      </fill>
    </dxf>
    <dxf>
      <font>
        <color rgb="FF9C0006"/>
      </font>
      <fill>
        <patternFill>
          <bgColor rgb="FFFFC7CE"/>
        </patternFill>
      </fill>
    </dxf>
    <dxf>
      <font>
        <color theme="0" tint="-4.9989318521683403E-2"/>
      </font>
      <fill>
        <patternFill>
          <bgColor rgb="FF00B050"/>
        </patternFill>
      </fill>
    </dxf>
    <dxf>
      <font>
        <color theme="1" tint="0.14996795556505021"/>
      </font>
      <fill>
        <patternFill>
          <bgColor rgb="FFEA837E"/>
        </patternFill>
      </fill>
    </dxf>
    <dxf>
      <font>
        <color theme="1" tint="0.14996795556505021"/>
      </font>
      <fill>
        <patternFill>
          <bgColor theme="0" tint="-0.14996795556505021"/>
        </patternFill>
      </fill>
    </dxf>
    <dxf>
      <font>
        <color theme="0" tint="-0.24994659260841701"/>
      </font>
      <fill>
        <patternFill>
          <bgColor rgb="FF212121"/>
        </patternFill>
      </fill>
    </dxf>
    <dxf>
      <font>
        <color theme="0" tint="-4.9989318521683403E-2"/>
      </font>
      <fill>
        <patternFill>
          <bgColor rgb="FF00B050"/>
        </patternFill>
      </fill>
    </dxf>
    <dxf>
      <font>
        <color theme="1" tint="0.14996795556505021"/>
      </font>
      <fill>
        <patternFill>
          <bgColor rgb="FFEA837E"/>
        </patternFill>
      </fill>
    </dxf>
    <dxf>
      <font>
        <color theme="1" tint="0.14996795556505021"/>
      </font>
      <fill>
        <patternFill>
          <bgColor theme="0" tint="-0.14996795556505021"/>
        </patternFill>
      </fill>
    </dxf>
    <dxf>
      <font>
        <color theme="0" tint="-0.24994659260841701"/>
      </font>
      <fill>
        <patternFill>
          <bgColor rgb="FF212121"/>
        </patternFill>
      </fill>
    </dxf>
    <dxf>
      <font>
        <color rgb="FFDE2D26"/>
      </font>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ill>
        <patternFill>
          <bgColor theme="1" tint="0.14996795556505021"/>
        </patternFill>
      </fill>
      <border>
        <top style="thin">
          <color theme="1" tint="4.9989318521683403E-2"/>
        </top>
        <bottom style="thin">
          <color theme="1" tint="4.9989318521683403E-2"/>
        </bottom>
      </border>
    </dxf>
    <dxf>
      <fill>
        <patternFill>
          <bgColor theme="1" tint="4.9989318521683403E-2"/>
        </patternFill>
      </fill>
      <border>
        <left/>
        <right/>
        <top/>
        <bottom/>
      </border>
    </dxf>
    <dxf>
      <font>
        <b/>
        <i val="0"/>
        <color theme="1" tint="0.14993743705557422"/>
      </font>
      <fill>
        <patternFill>
          <bgColor rgb="FFEA837E"/>
        </patternFill>
      </fill>
      <border>
        <left style="thin">
          <color theme="1" tint="4.9989318521683403E-2"/>
        </left>
        <right style="thin">
          <color theme="1" tint="4.9989318521683403E-2"/>
        </right>
        <top style="thin">
          <color theme="1" tint="4.9989318521683403E-2"/>
        </top>
        <bottom style="thin">
          <color theme="1" tint="4.9989318521683403E-2"/>
        </bottom>
      </border>
    </dxf>
    <dxf>
      <font>
        <b/>
        <i val="0"/>
        <color theme="1" tint="0.14993743705557422"/>
      </font>
      <fill>
        <patternFill>
          <bgColor rgb="FF4BC972"/>
        </patternFill>
      </fill>
      <border>
        <left style="thin">
          <color theme="1" tint="4.9989318521683403E-2"/>
        </left>
        <right style="thin">
          <color theme="1" tint="4.9989318521683403E-2"/>
        </right>
        <top style="thin">
          <color theme="1" tint="4.9989318521683403E-2"/>
        </top>
        <bottom style="thin">
          <color theme="1" tint="4.9989318521683403E-2"/>
        </bottom>
      </border>
    </dxf>
    <dxf>
      <font>
        <b/>
        <i val="0"/>
        <color theme="1" tint="0.14996795556505021"/>
      </font>
      <fill>
        <patternFill>
          <bgColor theme="0" tint="-0.24994659260841701"/>
        </patternFill>
      </fill>
      <border>
        <left style="thin">
          <color theme="1" tint="4.9989318521683403E-2"/>
        </left>
        <right style="thin">
          <color theme="1" tint="4.9989318521683403E-2"/>
        </right>
        <top style="thin">
          <color theme="1" tint="4.9989318521683403E-2"/>
        </top>
        <bottom style="thin">
          <color theme="1" tint="4.9989318521683403E-2"/>
        </bottom>
      </border>
    </dxf>
    <dxf>
      <font>
        <color theme="0" tint="-0.34998626667073579"/>
      </font>
      <fill>
        <patternFill>
          <bgColor theme="1" tint="4.9989318521683403E-2"/>
        </patternFill>
      </fill>
      <border>
        <left/>
        <right/>
        <top/>
        <bottom/>
      </border>
    </dxf>
    <dxf>
      <font>
        <b/>
        <i val="0"/>
        <color rgb="FF31A354"/>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dxf>
    <dxf>
      <font>
        <b/>
        <i val="0"/>
        <color rgb="FFDE2D26"/>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dxf>
    <dxf>
      <font>
        <color theme="0" tint="-4.9989318521683403E-2"/>
      </font>
      <fill>
        <patternFill>
          <bgColor theme="1" tint="0.14996795556505021"/>
        </patternFill>
      </fill>
      <border>
        <top style="thin">
          <color theme="1" tint="4.9989318521683403E-2"/>
        </top>
        <bottom style="thin">
          <color theme="1" tint="4.9989318521683403E-2"/>
        </bottom>
      </border>
    </dxf>
    <dxf>
      <fill>
        <patternFill>
          <bgColor theme="1" tint="0.14996795556505021"/>
        </patternFill>
      </fill>
      <border>
        <top style="thin">
          <color theme="1" tint="4.9989318521683403E-2"/>
        </top>
        <bottom style="thin">
          <color theme="1" tint="4.9989318521683403E-2"/>
        </bottom>
        <vertical/>
        <horizontal/>
      </border>
    </dxf>
    <dxf>
      <font>
        <color theme="1" tint="0.499984740745262"/>
      </font>
      <fill>
        <patternFill>
          <bgColor theme="1" tint="4.9989318521683403E-2"/>
        </patternFill>
      </fill>
      <border>
        <left style="thin">
          <color theme="1" tint="4.9989318521683403E-2"/>
        </left>
        <right style="thin">
          <color theme="1" tint="4.9989318521683403E-2"/>
        </right>
        <top style="thin">
          <color theme="1" tint="4.9989318521683403E-2"/>
        </top>
        <bottom style="thin">
          <color theme="1" tint="4.9989318521683403E-2"/>
        </bottom>
      </border>
    </dxf>
    <dxf>
      <font>
        <color rgb="FF171717"/>
      </font>
    </dxf>
    <dxf>
      <fill>
        <patternFill>
          <bgColor theme="1" tint="0.14996795556505021"/>
        </patternFill>
      </fill>
      <border>
        <top style="thin">
          <color theme="1" tint="4.9989318521683403E-2"/>
        </top>
        <bottom style="thin">
          <color theme="1" tint="4.9989318521683403E-2"/>
        </bottom>
        <vertical/>
        <horizontal/>
      </border>
    </dxf>
    <dxf>
      <fill>
        <patternFill>
          <bgColor theme="1" tint="4.9989318521683403E-2"/>
        </patternFill>
      </fill>
    </dxf>
    <dxf>
      <font>
        <color theme="6" tint="0.79998168889431442"/>
      </font>
    </dxf>
    <dxf>
      <font>
        <color rgb="FF171717"/>
      </font>
    </dxf>
    <dxf>
      <font>
        <color rgb="FF00B050"/>
      </font>
    </dxf>
    <dxf>
      <font>
        <color rgb="FFDE2D26"/>
      </font>
      <fill>
        <patternFill>
          <bgColor theme="2" tint="-0.89996032593768116"/>
        </patternFill>
      </fill>
    </dxf>
    <dxf>
      <font>
        <color rgb="FF00B050"/>
      </font>
    </dxf>
    <dxf>
      <font>
        <color rgb="FFDE2D26"/>
      </font>
      <fill>
        <patternFill>
          <bgColor theme="2" tint="-0.89996032593768116"/>
        </patternFill>
      </fill>
    </dxf>
    <dxf>
      <font>
        <color rgb="FFDE2D26"/>
      </font>
      <fill>
        <patternFill>
          <bgColor theme="2" tint="-0.89996032593768116"/>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patternType="none">
          <bgColor auto="1"/>
        </patternFill>
      </fill>
    </dxf>
  </dxfs>
  <tableStyles count="0" defaultTableStyle="TableStyleMedium9" defaultPivotStyle="PivotStyleLight16"/>
  <colors>
    <mruColors>
      <color rgb="FF262626"/>
      <color rgb="FFDE2D26"/>
      <color rgb="FF212121"/>
      <color rgb="FFFA3E3E"/>
      <color rgb="FF781712"/>
      <color rgb="FF4BC972"/>
      <color rgb="FFEA837E"/>
      <color rgb="FF8FDDA2"/>
      <color rgb="FF4BC968"/>
      <color rgb="FF31A3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phisix-api.appspot.com/phisix-stocks'">
  <Schema ID="Schema1" Namespace="http://phisix-api.appspot.com/phisix-stocks">
    <xsd:schema xmlns:xsd="http://www.w3.org/2001/XMLSchema" xmlns:ns0="http://phisix-api.appspot.com/phisix-stocks" xmlns="" targetNamespace="http://phisix-api.appspot.com/phisix-stocks">
      <xsd:element nillable="true" name="stocks">
        <xsd:complexType>
          <xsd:sequence minOccurs="0">
            <xsd:element minOccurs="0" maxOccurs="unbounded" nillable="true" name="stock" form="qualified">
              <xsd:complexType>
                <xsd:sequence minOccurs="0">
                  <xsd:element minOccurs="0" nillable="true" type="xsd:string" name="name" form="qualified"/>
                  <xsd:element minOccurs="0" nillable="true" name="price" form="qualified">
                    <xsd:complexType>
                      <xsd:sequence minOccurs="0">
                        <xsd:element minOccurs="0" nillable="true" type="xsd:string" name="currency" form="qualified"/>
                        <xsd:element minOccurs="0" nillable="true" type="xsd:double" name="amount" form="qualified"/>
                      </xsd:sequence>
                    </xsd:complexType>
                  </xsd:element>
                  <xsd:element minOccurs="0" nillable="true" type="xsd:double" name="percent_change" form="qualified"/>
                  <xsd:element minOccurs="0" nillable="true" type="xsd:integer" name="volume" form="qualified"/>
                </xsd:sequence>
                <xsd:attribute name="symbol" form="unqualified" type="xsd:string"/>
              </xsd:complexType>
            </xsd:element>
          </xsd:sequence>
          <xsd:attribute name="as_of" form="unqualified" type="xsd:dateTime"/>
        </xsd:complexType>
      </xsd:element>
    </xsd:schema>
  </Schema>
  <Map ID="1" Name="stocks_Map" RootElement="stock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xmlMaps" Target="xmlMap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660584093654942E-2"/>
          <c:y val="2.6790231467980083E-2"/>
          <c:w val="0.86068866391701049"/>
          <c:h val="0.78665471250714925"/>
        </c:manualLayout>
      </c:layout>
      <c:scatterChart>
        <c:scatterStyle val="lineMarker"/>
        <c:varyColors val="0"/>
        <c:ser>
          <c:idx val="0"/>
          <c:order val="0"/>
          <c:tx>
            <c:strRef>
              <c:f>Expectancy!$C$6</c:f>
              <c:strCache>
                <c:ptCount val="1"/>
                <c:pt idx="0">
                  <c:v>Strategy 1</c:v>
                </c:pt>
              </c:strCache>
            </c:strRef>
          </c:tx>
          <c:spPr>
            <a:ln w="28575" cap="rnd">
              <a:solidFill>
                <a:srgbClr val="DE2D26"/>
              </a:solidFill>
              <a:round/>
            </a:ln>
            <a:effectLst/>
          </c:spPr>
          <c:marker>
            <c:symbol val="none"/>
          </c:marker>
          <c:xVal>
            <c:numRef>
              <c:f>Expectancy!$G$16:$G$116</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Expectancy!$M$16:$M$116</c:f>
              <c:numCache>
                <c:formatCode>_(* #,##0.00_);_(* \(#,##0.00\);_(* "-"??_);_(@_)</c:formatCode>
                <c:ptCount val="101"/>
                <c:pt idx="0" formatCode="&quot;$&quot;#,##0.00_);\(&quot;$&quot;#,##0.00\)">
                  <c:v>100000</c:v>
                </c:pt>
                <c:pt idx="1">
                  <c:v>98500</c:v>
                </c:pt>
                <c:pt idx="2">
                  <c:v>106774</c:v>
                </c:pt>
                <c:pt idx="3">
                  <c:v>115743.016</c:v>
                </c:pt>
                <c:pt idx="4">
                  <c:v>125465.429344</c:v>
                </c:pt>
                <c:pt idx="5">
                  <c:v>123583.44790384</c:v>
                </c:pt>
                <c:pt idx="6">
                  <c:v>121729.6961852824</c:v>
                </c:pt>
                <c:pt idx="7">
                  <c:v>119903.75074250317</c:v>
                </c:pt>
                <c:pt idx="8">
                  <c:v>118105.19448136562</c:v>
                </c:pt>
                <c:pt idx="9">
                  <c:v>116333.61656414514</c:v>
                </c:pt>
                <c:pt idx="10">
                  <c:v>114588.61231568296</c:v>
                </c:pt>
                <c:pt idx="11">
                  <c:v>112869.78313094772</c:v>
                </c:pt>
                <c:pt idx="12">
                  <c:v>122350.84491394734</c:v>
                </c:pt>
                <c:pt idx="13">
                  <c:v>132628.31588671892</c:v>
                </c:pt>
                <c:pt idx="14">
                  <c:v>143769.09442120331</c:v>
                </c:pt>
                <c:pt idx="15">
                  <c:v>141612.55800488527</c:v>
                </c:pt>
                <c:pt idx="16">
                  <c:v>139488.369634812</c:v>
                </c:pt>
                <c:pt idx="17">
                  <c:v>151205.39268413623</c:v>
                </c:pt>
                <c:pt idx="18">
                  <c:v>148937.31179387419</c:v>
                </c:pt>
                <c:pt idx="19">
                  <c:v>146703.25211696606</c:v>
                </c:pt>
                <c:pt idx="20">
                  <c:v>144502.70333521155</c:v>
                </c:pt>
                <c:pt idx="21">
                  <c:v>142335.16278518338</c:v>
                </c:pt>
                <c:pt idx="22">
                  <c:v>140200.13534340562</c:v>
                </c:pt>
                <c:pt idx="23">
                  <c:v>138097.13331325454</c:v>
                </c:pt>
                <c:pt idx="24">
                  <c:v>149697.29251156794</c:v>
                </c:pt>
                <c:pt idx="25">
                  <c:v>147451.83312389441</c:v>
                </c:pt>
                <c:pt idx="26">
                  <c:v>159837.78710630152</c:v>
                </c:pt>
                <c:pt idx="27">
                  <c:v>173264.16122323083</c:v>
                </c:pt>
                <c:pt idx="28">
                  <c:v>170665.19880488236</c:v>
                </c:pt>
                <c:pt idx="29">
                  <c:v>185001.07550449244</c:v>
                </c:pt>
                <c:pt idx="30">
                  <c:v>182226.05937192508</c:v>
                </c:pt>
                <c:pt idx="31">
                  <c:v>179492.66848134622</c:v>
                </c:pt>
                <c:pt idx="32">
                  <c:v>176800.27845412603</c:v>
                </c:pt>
                <c:pt idx="33">
                  <c:v>174148.27427731414</c:v>
                </c:pt>
                <c:pt idx="34">
                  <c:v>171536.05016315443</c:v>
                </c:pt>
                <c:pt idx="35">
                  <c:v>185945.0783768594</c:v>
                </c:pt>
                <c:pt idx="36">
                  <c:v>201564.46496051559</c:v>
                </c:pt>
                <c:pt idx="37">
                  <c:v>198540.99798610783</c:v>
                </c:pt>
                <c:pt idx="38">
                  <c:v>195562.88301631622</c:v>
                </c:pt>
                <c:pt idx="39">
                  <c:v>211990.16518968678</c:v>
                </c:pt>
                <c:pt idx="40">
                  <c:v>208810.31271184148</c:v>
                </c:pt>
                <c:pt idx="41">
                  <c:v>205678.15802116386</c:v>
                </c:pt>
                <c:pt idx="42">
                  <c:v>202592.98565084639</c:v>
                </c:pt>
                <c:pt idx="43">
                  <c:v>219610.79644551748</c:v>
                </c:pt>
                <c:pt idx="44">
                  <c:v>216316.63449883473</c:v>
                </c:pt>
                <c:pt idx="45">
                  <c:v>213071.8849813522</c:v>
                </c:pt>
                <c:pt idx="46">
                  <c:v>209875.80670663191</c:v>
                </c:pt>
                <c:pt idx="47">
                  <c:v>206727.66960603243</c:v>
                </c:pt>
                <c:pt idx="48">
                  <c:v>224092.79385293915</c:v>
                </c:pt>
                <c:pt idx="49">
                  <c:v>220731.4019451451</c:v>
                </c:pt>
                <c:pt idx="50">
                  <c:v>217420.43091596791</c:v>
                </c:pt>
                <c:pt idx="51">
                  <c:v>214159.1244522284</c:v>
                </c:pt>
                <c:pt idx="52">
                  <c:v>210946.73758544496</c:v>
                </c:pt>
                <c:pt idx="53">
                  <c:v>207782.53652166331</c:v>
                </c:pt>
                <c:pt idx="54">
                  <c:v>204665.79847383837</c:v>
                </c:pt>
                <c:pt idx="55">
                  <c:v>201595.81149673078</c:v>
                </c:pt>
                <c:pt idx="56">
                  <c:v>198571.87432427984</c:v>
                </c:pt>
                <c:pt idx="57">
                  <c:v>215251.91176751934</c:v>
                </c:pt>
                <c:pt idx="58">
                  <c:v>212023.13309100654</c:v>
                </c:pt>
                <c:pt idx="59">
                  <c:v>208842.78609464143</c:v>
                </c:pt>
                <c:pt idx="60">
                  <c:v>205710.14430322181</c:v>
                </c:pt>
                <c:pt idx="61">
                  <c:v>202624.49213867349</c:v>
                </c:pt>
                <c:pt idx="62">
                  <c:v>219644.94947832206</c:v>
                </c:pt>
                <c:pt idx="63">
                  <c:v>216350.27523614722</c:v>
                </c:pt>
                <c:pt idx="64">
                  <c:v>213105.02110760502</c:v>
                </c:pt>
                <c:pt idx="65">
                  <c:v>209908.44579099095</c:v>
                </c:pt>
                <c:pt idx="66">
                  <c:v>227540.7552374342</c:v>
                </c:pt>
                <c:pt idx="67">
                  <c:v>224127.64390887268</c:v>
                </c:pt>
                <c:pt idx="68">
                  <c:v>220765.72925023959</c:v>
                </c:pt>
                <c:pt idx="69">
                  <c:v>239310.05050725973</c:v>
                </c:pt>
                <c:pt idx="70">
                  <c:v>235720.39974965085</c:v>
                </c:pt>
                <c:pt idx="71">
                  <c:v>232184.59375340608</c:v>
                </c:pt>
                <c:pt idx="72">
                  <c:v>251688.0996286922</c:v>
                </c:pt>
                <c:pt idx="73">
                  <c:v>272829.89999750233</c:v>
                </c:pt>
                <c:pt idx="74">
                  <c:v>295747.61159729253</c:v>
                </c:pt>
                <c:pt idx="75">
                  <c:v>320590.41097146511</c:v>
                </c:pt>
                <c:pt idx="76">
                  <c:v>315781.55480689317</c:v>
                </c:pt>
                <c:pt idx="77">
                  <c:v>311044.83148478979</c:v>
                </c:pt>
                <c:pt idx="78">
                  <c:v>337172.59732951212</c:v>
                </c:pt>
                <c:pt idx="79">
                  <c:v>332115.00836956943</c:v>
                </c:pt>
                <c:pt idx="80">
                  <c:v>327133.28324402589</c:v>
                </c:pt>
                <c:pt idx="81">
                  <c:v>322226.28399536549</c:v>
                </c:pt>
                <c:pt idx="82">
                  <c:v>317392.88973543502</c:v>
                </c:pt>
                <c:pt idx="83">
                  <c:v>312631.99638940347</c:v>
                </c:pt>
                <c:pt idx="84">
                  <c:v>307942.5164435624</c:v>
                </c:pt>
                <c:pt idx="85">
                  <c:v>303323.37869690894</c:v>
                </c:pt>
                <c:pt idx="86">
                  <c:v>298773.5280164553</c:v>
                </c:pt>
                <c:pt idx="87">
                  <c:v>294291.92509620846</c:v>
                </c:pt>
                <c:pt idx="88">
                  <c:v>289877.54621976533</c:v>
                </c:pt>
                <c:pt idx="89">
                  <c:v>285529.38302646886</c:v>
                </c:pt>
                <c:pt idx="90">
                  <c:v>281246.4422810718</c:v>
                </c:pt>
                <c:pt idx="91">
                  <c:v>277027.74564685574</c:v>
                </c:pt>
                <c:pt idx="92">
                  <c:v>272872.32946215291</c:v>
                </c:pt>
                <c:pt idx="93">
                  <c:v>268779.24452022061</c:v>
                </c:pt>
                <c:pt idx="94">
                  <c:v>264747.55585241731</c:v>
                </c:pt>
                <c:pt idx="95">
                  <c:v>260776.34251463105</c:v>
                </c:pt>
                <c:pt idx="96">
                  <c:v>256864.69737691159</c:v>
                </c:pt>
                <c:pt idx="97">
                  <c:v>253011.72691625793</c:v>
                </c:pt>
                <c:pt idx="98">
                  <c:v>249216.55101251404</c:v>
                </c:pt>
                <c:pt idx="99">
                  <c:v>245478.30274732635</c:v>
                </c:pt>
                <c:pt idx="100">
                  <c:v>241796.12820611644</c:v>
                </c:pt>
              </c:numCache>
            </c:numRef>
          </c:yVal>
          <c:smooth val="0"/>
          <c:extLst>
            <c:ext xmlns:c16="http://schemas.microsoft.com/office/drawing/2014/chart" uri="{C3380CC4-5D6E-409C-BE32-E72D297353CC}">
              <c16:uniqueId val="{00000001-030F-4CC4-80F5-BC3A50A1C325}"/>
            </c:ext>
          </c:extLst>
        </c:ser>
        <c:dLbls>
          <c:showLegendKey val="0"/>
          <c:showVal val="0"/>
          <c:showCatName val="0"/>
          <c:showSerName val="0"/>
          <c:showPercent val="0"/>
          <c:showBubbleSize val="0"/>
        </c:dLbls>
        <c:axId val="104777384"/>
        <c:axId val="104780008"/>
      </c:scatterChart>
      <c:catAx>
        <c:axId val="104777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Trades</a:t>
                </a:r>
              </a:p>
            </c:rich>
          </c:tx>
          <c:layout>
            <c:manualLayout>
              <c:xMode val="edge"/>
              <c:yMode val="edge"/>
              <c:x val="0.39470274549014711"/>
              <c:y val="0.907427368992668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80008"/>
        <c:crosses val="autoZero"/>
        <c:auto val="1"/>
        <c:lblAlgn val="ctr"/>
        <c:lblOffset val="100"/>
        <c:tickLblSkip val="10"/>
        <c:tickMarkSkip val="5"/>
        <c:noMultiLvlLbl val="0"/>
      </c:catAx>
      <c:valAx>
        <c:axId val="104780008"/>
        <c:scaling>
          <c:orientation val="minMax"/>
        </c:scaling>
        <c:delete val="0"/>
        <c:axPos val="r"/>
        <c:numFmt formatCode="_(* #,##0_);_(* \(#,##0\);_(* &quot;-&quot;_);_(@_)" sourceLinked="0"/>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4777384"/>
        <c:crosses val="max"/>
        <c:crossBetween val="midCat"/>
        <c:dispUnits>
          <c:builtInUnit val="thousands"/>
          <c:dispUnitsLbl>
            <c:layout>
              <c:manualLayout>
                <c:xMode val="edge"/>
                <c:yMode val="edge"/>
                <c:x val="1.5724701079031778E-2"/>
                <c:y val="0.36964712744240302"/>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gradFill flip="none" rotWithShape="1">
      <a:gsLst>
        <a:gs pos="0">
          <a:schemeClr val="tx1">
            <a:lumMod val="95000"/>
            <a:lumOff val="5000"/>
          </a:schemeClr>
        </a:gs>
        <a:gs pos="50000">
          <a:schemeClr val="tx1">
            <a:lumMod val="95000"/>
            <a:lumOff val="5000"/>
          </a:schemeClr>
        </a:gs>
        <a:gs pos="100000">
          <a:schemeClr val="bg2">
            <a:lumMod val="10000"/>
          </a:schemeClr>
        </a:gs>
      </a:gsLst>
      <a:lin ang="162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167886677481902E-2"/>
          <c:y val="3.0641671883064825E-2"/>
          <c:w val="0.83837243962595132"/>
          <c:h val="0.80440154185747714"/>
        </c:manualLayout>
      </c:layout>
      <c:scatterChart>
        <c:scatterStyle val="lineMarker"/>
        <c:varyColors val="0"/>
        <c:ser>
          <c:idx val="0"/>
          <c:order val="0"/>
          <c:tx>
            <c:strRef>
              <c:f>Expectancy!$C$6</c:f>
              <c:strCache>
                <c:ptCount val="1"/>
                <c:pt idx="0">
                  <c:v>Strategy 1</c:v>
                </c:pt>
              </c:strCache>
            </c:strRef>
          </c:tx>
          <c:spPr>
            <a:ln w="19050" cap="rnd">
              <a:solidFill>
                <a:srgbClr val="DE2D26"/>
              </a:solidFill>
              <a:round/>
            </a:ln>
            <a:effectLst/>
          </c:spPr>
          <c:marker>
            <c:symbol val="none"/>
          </c:marker>
          <c:xVal>
            <c:numRef>
              <c:f>Expectancy!$G$17:$G$116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f>Expectancy!$M$17:$M$116</c:f>
              <c:numCache>
                <c:formatCode>_(* #,##0.00_);_(* \(#,##0.00\);_(* "-"??_);_(@_)</c:formatCode>
                <c:ptCount val="100"/>
                <c:pt idx="0">
                  <c:v>98500</c:v>
                </c:pt>
                <c:pt idx="1">
                  <c:v>106774</c:v>
                </c:pt>
                <c:pt idx="2">
                  <c:v>115743.016</c:v>
                </c:pt>
                <c:pt idx="3">
                  <c:v>125465.429344</c:v>
                </c:pt>
                <c:pt idx="4">
                  <c:v>123583.44790384</c:v>
                </c:pt>
                <c:pt idx="5">
                  <c:v>121729.6961852824</c:v>
                </c:pt>
                <c:pt idx="6">
                  <c:v>119903.75074250317</c:v>
                </c:pt>
                <c:pt idx="7">
                  <c:v>118105.19448136562</c:v>
                </c:pt>
                <c:pt idx="8">
                  <c:v>116333.61656414514</c:v>
                </c:pt>
                <c:pt idx="9">
                  <c:v>114588.61231568296</c:v>
                </c:pt>
                <c:pt idx="10">
                  <c:v>112869.78313094772</c:v>
                </c:pt>
                <c:pt idx="11">
                  <c:v>122350.84491394734</c:v>
                </c:pt>
                <c:pt idx="12">
                  <c:v>132628.31588671892</c:v>
                </c:pt>
                <c:pt idx="13">
                  <c:v>143769.09442120331</c:v>
                </c:pt>
                <c:pt idx="14">
                  <c:v>141612.55800488527</c:v>
                </c:pt>
                <c:pt idx="15">
                  <c:v>139488.369634812</c:v>
                </c:pt>
                <c:pt idx="16">
                  <c:v>151205.39268413623</c:v>
                </c:pt>
                <c:pt idx="17">
                  <c:v>148937.31179387419</c:v>
                </c:pt>
                <c:pt idx="18">
                  <c:v>146703.25211696606</c:v>
                </c:pt>
                <c:pt idx="19">
                  <c:v>144502.70333521155</c:v>
                </c:pt>
                <c:pt idx="20">
                  <c:v>142335.16278518338</c:v>
                </c:pt>
                <c:pt idx="21">
                  <c:v>140200.13534340562</c:v>
                </c:pt>
                <c:pt idx="22">
                  <c:v>138097.13331325454</c:v>
                </c:pt>
                <c:pt idx="23">
                  <c:v>149697.29251156794</c:v>
                </c:pt>
                <c:pt idx="24">
                  <c:v>147451.83312389441</c:v>
                </c:pt>
                <c:pt idx="25">
                  <c:v>159837.78710630152</c:v>
                </c:pt>
                <c:pt idx="26">
                  <c:v>173264.16122323083</c:v>
                </c:pt>
                <c:pt idx="27">
                  <c:v>170665.19880488236</c:v>
                </c:pt>
                <c:pt idx="28">
                  <c:v>185001.07550449244</c:v>
                </c:pt>
                <c:pt idx="29">
                  <c:v>182226.05937192508</c:v>
                </c:pt>
                <c:pt idx="30">
                  <c:v>179492.66848134622</c:v>
                </c:pt>
                <c:pt idx="31">
                  <c:v>176800.27845412603</c:v>
                </c:pt>
                <c:pt idx="32">
                  <c:v>174148.27427731414</c:v>
                </c:pt>
                <c:pt idx="33">
                  <c:v>171536.05016315443</c:v>
                </c:pt>
                <c:pt idx="34">
                  <c:v>185945.0783768594</c:v>
                </c:pt>
                <c:pt idx="35">
                  <c:v>201564.46496051559</c:v>
                </c:pt>
                <c:pt idx="36">
                  <c:v>198540.99798610783</c:v>
                </c:pt>
                <c:pt idx="37">
                  <c:v>195562.88301631622</c:v>
                </c:pt>
                <c:pt idx="38">
                  <c:v>211990.16518968678</c:v>
                </c:pt>
                <c:pt idx="39">
                  <c:v>208810.31271184148</c:v>
                </c:pt>
                <c:pt idx="40">
                  <c:v>205678.15802116386</c:v>
                </c:pt>
                <c:pt idx="41">
                  <c:v>202592.98565084639</c:v>
                </c:pt>
                <c:pt idx="42">
                  <c:v>219610.79644551748</c:v>
                </c:pt>
                <c:pt idx="43">
                  <c:v>216316.63449883473</c:v>
                </c:pt>
                <c:pt idx="44">
                  <c:v>213071.8849813522</c:v>
                </c:pt>
                <c:pt idx="45">
                  <c:v>209875.80670663191</c:v>
                </c:pt>
                <c:pt idx="46">
                  <c:v>206727.66960603243</c:v>
                </c:pt>
                <c:pt idx="47">
                  <c:v>224092.79385293915</c:v>
                </c:pt>
                <c:pt idx="48">
                  <c:v>220731.4019451451</c:v>
                </c:pt>
                <c:pt idx="49">
                  <c:v>217420.43091596791</c:v>
                </c:pt>
                <c:pt idx="50">
                  <c:v>214159.1244522284</c:v>
                </c:pt>
                <c:pt idx="51">
                  <c:v>210946.73758544496</c:v>
                </c:pt>
                <c:pt idx="52">
                  <c:v>207782.53652166331</c:v>
                </c:pt>
                <c:pt idx="53">
                  <c:v>204665.79847383837</c:v>
                </c:pt>
                <c:pt idx="54">
                  <c:v>201595.81149673078</c:v>
                </c:pt>
                <c:pt idx="55">
                  <c:v>198571.87432427984</c:v>
                </c:pt>
                <c:pt idx="56">
                  <c:v>215251.91176751934</c:v>
                </c:pt>
                <c:pt idx="57">
                  <c:v>212023.13309100654</c:v>
                </c:pt>
                <c:pt idx="58">
                  <c:v>208842.78609464143</c:v>
                </c:pt>
                <c:pt idx="59">
                  <c:v>205710.14430322181</c:v>
                </c:pt>
                <c:pt idx="60">
                  <c:v>202624.49213867349</c:v>
                </c:pt>
                <c:pt idx="61">
                  <c:v>219644.94947832206</c:v>
                </c:pt>
                <c:pt idx="62">
                  <c:v>216350.27523614722</c:v>
                </c:pt>
                <c:pt idx="63">
                  <c:v>213105.02110760502</c:v>
                </c:pt>
                <c:pt idx="64">
                  <c:v>209908.44579099095</c:v>
                </c:pt>
                <c:pt idx="65">
                  <c:v>227540.7552374342</c:v>
                </c:pt>
                <c:pt idx="66">
                  <c:v>224127.64390887268</c:v>
                </c:pt>
                <c:pt idx="67">
                  <c:v>220765.72925023959</c:v>
                </c:pt>
                <c:pt idx="68">
                  <c:v>239310.05050725973</c:v>
                </c:pt>
                <c:pt idx="69">
                  <c:v>235720.39974965085</c:v>
                </c:pt>
                <c:pt idx="70">
                  <c:v>232184.59375340608</c:v>
                </c:pt>
                <c:pt idx="71">
                  <c:v>251688.0996286922</c:v>
                </c:pt>
                <c:pt idx="72">
                  <c:v>272829.89999750233</c:v>
                </c:pt>
                <c:pt idx="73">
                  <c:v>295747.61159729253</c:v>
                </c:pt>
                <c:pt idx="74">
                  <c:v>320590.41097146511</c:v>
                </c:pt>
                <c:pt idx="75">
                  <c:v>315781.55480689317</c:v>
                </c:pt>
                <c:pt idx="76">
                  <c:v>311044.83148478979</c:v>
                </c:pt>
                <c:pt idx="77">
                  <c:v>337172.59732951212</c:v>
                </c:pt>
                <c:pt idx="78">
                  <c:v>332115.00836956943</c:v>
                </c:pt>
                <c:pt idx="79">
                  <c:v>327133.28324402589</c:v>
                </c:pt>
                <c:pt idx="80">
                  <c:v>322226.28399536549</c:v>
                </c:pt>
                <c:pt idx="81">
                  <c:v>317392.88973543502</c:v>
                </c:pt>
                <c:pt idx="82">
                  <c:v>312631.99638940347</c:v>
                </c:pt>
                <c:pt idx="83">
                  <c:v>307942.5164435624</c:v>
                </c:pt>
                <c:pt idx="84">
                  <c:v>303323.37869690894</c:v>
                </c:pt>
                <c:pt idx="85">
                  <c:v>298773.5280164553</c:v>
                </c:pt>
                <c:pt idx="86">
                  <c:v>294291.92509620846</c:v>
                </c:pt>
                <c:pt idx="87">
                  <c:v>289877.54621976533</c:v>
                </c:pt>
                <c:pt idx="88">
                  <c:v>285529.38302646886</c:v>
                </c:pt>
                <c:pt idx="89">
                  <c:v>281246.4422810718</c:v>
                </c:pt>
                <c:pt idx="90">
                  <c:v>277027.74564685574</c:v>
                </c:pt>
                <c:pt idx="91">
                  <c:v>272872.32946215291</c:v>
                </c:pt>
                <c:pt idx="92">
                  <c:v>268779.24452022061</c:v>
                </c:pt>
                <c:pt idx="93">
                  <c:v>264747.55585241731</c:v>
                </c:pt>
                <c:pt idx="94">
                  <c:v>260776.34251463105</c:v>
                </c:pt>
                <c:pt idx="95">
                  <c:v>256864.69737691159</c:v>
                </c:pt>
                <c:pt idx="96">
                  <c:v>253011.72691625793</c:v>
                </c:pt>
                <c:pt idx="97">
                  <c:v>249216.55101251404</c:v>
                </c:pt>
                <c:pt idx="98">
                  <c:v>245478.30274732635</c:v>
                </c:pt>
                <c:pt idx="99">
                  <c:v>241796.12820611644</c:v>
                </c:pt>
              </c:numCache>
            </c:numRef>
          </c:yVal>
          <c:smooth val="0"/>
          <c:extLst>
            <c:ext xmlns:c16="http://schemas.microsoft.com/office/drawing/2014/chart" uri="{C3380CC4-5D6E-409C-BE32-E72D297353CC}">
              <c16:uniqueId val="{00000000-A629-4960-BA02-3B5CC27C7C53}"/>
            </c:ext>
          </c:extLst>
        </c:ser>
        <c:ser>
          <c:idx val="1"/>
          <c:order val="1"/>
          <c:tx>
            <c:strRef>
              <c:f>Expectancy!$D$6</c:f>
              <c:strCache>
                <c:ptCount val="1"/>
                <c:pt idx="0">
                  <c:v>Strategy 2</c:v>
                </c:pt>
              </c:strCache>
            </c:strRef>
          </c:tx>
          <c:spPr>
            <a:ln w="19050" cap="rnd">
              <a:solidFill>
                <a:schemeClr val="accent2"/>
              </a:solidFill>
              <a:round/>
            </a:ln>
            <a:effectLst/>
          </c:spPr>
          <c:marker>
            <c:symbol val="none"/>
          </c:marker>
          <c:xVal>
            <c:numRef>
              <c:f>Expectancy!$G$17:$G$116</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xVal>
          <c:yVal>
            <c:numRef>
              <c:f>Expectancy!$AJ$17:$AJ$116</c:f>
              <c:numCache>
                <c:formatCode>General</c:formatCode>
                <c:ptCount val="100"/>
                <c:pt idx="0">
                  <c:v>98400</c:v>
                </c:pt>
                <c:pt idx="1">
                  <c:v>96825.600000000006</c:v>
                </c:pt>
                <c:pt idx="2">
                  <c:v>95276.390400000004</c:v>
                </c:pt>
                <c:pt idx="3">
                  <c:v>100992.973824</c:v>
                </c:pt>
                <c:pt idx="4">
                  <c:v>99377.086242816004</c:v>
                </c:pt>
                <c:pt idx="5">
                  <c:v>97787.052862930956</c:v>
                </c:pt>
                <c:pt idx="6">
                  <c:v>96222.46001712406</c:v>
                </c:pt>
                <c:pt idx="7">
                  <c:v>94682.900656850077</c:v>
                </c:pt>
                <c:pt idx="8">
                  <c:v>93167.974246340484</c:v>
                </c:pt>
                <c:pt idx="9">
                  <c:v>98758.052701120905</c:v>
                </c:pt>
                <c:pt idx="10">
                  <c:v>97177.923857902962</c:v>
                </c:pt>
                <c:pt idx="11">
                  <c:v>95623.077076176516</c:v>
                </c:pt>
                <c:pt idx="12">
                  <c:v>101360.46170074711</c:v>
                </c:pt>
                <c:pt idx="13">
                  <c:v>107442.08940279193</c:v>
                </c:pt>
                <c:pt idx="14">
                  <c:v>113888.61476695945</c:v>
                </c:pt>
                <c:pt idx="15">
                  <c:v>112066.39693068809</c:v>
                </c:pt>
                <c:pt idx="16">
                  <c:v>118790.38074652938</c:v>
                </c:pt>
                <c:pt idx="17">
                  <c:v>116889.73465458491</c:v>
                </c:pt>
                <c:pt idx="18">
                  <c:v>115019.49890011155</c:v>
                </c:pt>
                <c:pt idx="19">
                  <c:v>121920.66883411825</c:v>
                </c:pt>
                <c:pt idx="20">
                  <c:v>119969.93813277235</c:v>
                </c:pt>
                <c:pt idx="21">
                  <c:v>118050.41912264799</c:v>
                </c:pt>
                <c:pt idx="22">
                  <c:v>125133.44427000688</c:v>
                </c:pt>
                <c:pt idx="23">
                  <c:v>132641.4509262073</c:v>
                </c:pt>
                <c:pt idx="24">
                  <c:v>130519.18771138799</c:v>
                </c:pt>
                <c:pt idx="25">
                  <c:v>138350.33897407126</c:v>
                </c:pt>
                <c:pt idx="26">
                  <c:v>146651.35931251553</c:v>
                </c:pt>
                <c:pt idx="27">
                  <c:v>144304.9375635153</c:v>
                </c:pt>
                <c:pt idx="28">
                  <c:v>141996.05856249906</c:v>
                </c:pt>
                <c:pt idx="29">
                  <c:v>139724.1216254991</c:v>
                </c:pt>
                <c:pt idx="30">
                  <c:v>137488.53567949112</c:v>
                </c:pt>
                <c:pt idx="31">
                  <c:v>135288.71910861926</c:v>
                </c:pt>
                <c:pt idx="32">
                  <c:v>133124.09960288135</c:v>
                </c:pt>
                <c:pt idx="33">
                  <c:v>130994.11400923526</c:v>
                </c:pt>
                <c:pt idx="34">
                  <c:v>128898.2081850875</c:v>
                </c:pt>
                <c:pt idx="35">
                  <c:v>126835.8368541261</c:v>
                </c:pt>
                <c:pt idx="36">
                  <c:v>134445.98706537366</c:v>
                </c:pt>
                <c:pt idx="37">
                  <c:v>132294.85127232768</c:v>
                </c:pt>
                <c:pt idx="38">
                  <c:v>130178.13365197043</c:v>
                </c:pt>
                <c:pt idx="39">
                  <c:v>128095.2835135389</c:v>
                </c:pt>
                <c:pt idx="40">
                  <c:v>135781.00052435123</c:v>
                </c:pt>
                <c:pt idx="41">
                  <c:v>133608.50451596163</c:v>
                </c:pt>
                <c:pt idx="42">
                  <c:v>131470.76844370624</c:v>
                </c:pt>
                <c:pt idx="43">
                  <c:v>129367.23614860694</c:v>
                </c:pt>
                <c:pt idx="44">
                  <c:v>137129.27031752336</c:v>
                </c:pt>
                <c:pt idx="45">
                  <c:v>145357.02653657476</c:v>
                </c:pt>
                <c:pt idx="46">
                  <c:v>143031.31411198957</c:v>
                </c:pt>
                <c:pt idx="47">
                  <c:v>151613.19295870894</c:v>
                </c:pt>
                <c:pt idx="48">
                  <c:v>149187.38187136961</c:v>
                </c:pt>
                <c:pt idx="49">
                  <c:v>158138.62478365179</c:v>
                </c:pt>
                <c:pt idx="50">
                  <c:v>155608.40678711334</c:v>
                </c:pt>
                <c:pt idx="51">
                  <c:v>164944.91119434015</c:v>
                </c:pt>
                <c:pt idx="52">
                  <c:v>162305.79261523072</c:v>
                </c:pt>
                <c:pt idx="53">
                  <c:v>172044.14017214457</c:v>
                </c:pt>
                <c:pt idx="54">
                  <c:v>169291.43392939027</c:v>
                </c:pt>
                <c:pt idx="55">
                  <c:v>179448.91996515368</c:v>
                </c:pt>
                <c:pt idx="56">
                  <c:v>176577.73724571121</c:v>
                </c:pt>
                <c:pt idx="57">
                  <c:v>173752.49344977981</c:v>
                </c:pt>
                <c:pt idx="58">
                  <c:v>170972.45355458334</c:v>
                </c:pt>
                <c:pt idx="59">
                  <c:v>168236.89429771001</c:v>
                </c:pt>
                <c:pt idx="60">
                  <c:v>165545.10398894665</c:v>
                </c:pt>
                <c:pt idx="61">
                  <c:v>162896.3823251235</c:v>
                </c:pt>
                <c:pt idx="62">
                  <c:v>160290.04020792153</c:v>
                </c:pt>
                <c:pt idx="63">
                  <c:v>169907.44262039685</c:v>
                </c:pt>
                <c:pt idx="64">
                  <c:v>180101.88917762064</c:v>
                </c:pt>
                <c:pt idx="65">
                  <c:v>190908.00252827787</c:v>
                </c:pt>
                <c:pt idx="66">
                  <c:v>187853.47448782541</c:v>
                </c:pt>
                <c:pt idx="67">
                  <c:v>184847.81889602021</c:v>
                </c:pt>
                <c:pt idx="68">
                  <c:v>181890.25379368389</c:v>
                </c:pt>
                <c:pt idx="69">
                  <c:v>178980.00973298494</c:v>
                </c:pt>
                <c:pt idx="70">
                  <c:v>189718.81031696405</c:v>
                </c:pt>
                <c:pt idx="71">
                  <c:v>186683.30935189262</c:v>
                </c:pt>
                <c:pt idx="72">
                  <c:v>197884.30791300617</c:v>
                </c:pt>
                <c:pt idx="73">
                  <c:v>209757.36638778652</c:v>
                </c:pt>
                <c:pt idx="74">
                  <c:v>206401.24852558193</c:v>
                </c:pt>
                <c:pt idx="75">
                  <c:v>203098.82854917261</c:v>
                </c:pt>
                <c:pt idx="76">
                  <c:v>199849.24729238584</c:v>
                </c:pt>
                <c:pt idx="77">
                  <c:v>196651.65933570766</c:v>
                </c:pt>
                <c:pt idx="78">
                  <c:v>193505.23278633633</c:v>
                </c:pt>
                <c:pt idx="79">
                  <c:v>190409.14906175496</c:v>
                </c:pt>
                <c:pt idx="80">
                  <c:v>201833.69800546026</c:v>
                </c:pt>
                <c:pt idx="81">
                  <c:v>198604.35883737291</c:v>
                </c:pt>
                <c:pt idx="82">
                  <c:v>195426.68909597496</c:v>
                </c:pt>
                <c:pt idx="83">
                  <c:v>192299.86207043935</c:v>
                </c:pt>
                <c:pt idx="84">
                  <c:v>189223.06427731231</c:v>
                </c:pt>
                <c:pt idx="85">
                  <c:v>200576.44813395105</c:v>
                </c:pt>
                <c:pt idx="86">
                  <c:v>197367.22496380785</c:v>
                </c:pt>
                <c:pt idx="87">
                  <c:v>194209.34936438693</c:v>
                </c:pt>
                <c:pt idx="88">
                  <c:v>191101.99977455672</c:v>
                </c:pt>
                <c:pt idx="89">
                  <c:v>188044.36777816381</c:v>
                </c:pt>
                <c:pt idx="90">
                  <c:v>185035.65789371319</c:v>
                </c:pt>
                <c:pt idx="91">
                  <c:v>196137.797367336</c:v>
                </c:pt>
                <c:pt idx="92">
                  <c:v>192999.5926094586</c:v>
                </c:pt>
                <c:pt idx="93">
                  <c:v>189911.59912770725</c:v>
                </c:pt>
                <c:pt idx="94">
                  <c:v>186873.01354166394</c:v>
                </c:pt>
                <c:pt idx="95">
                  <c:v>183883.04532499734</c:v>
                </c:pt>
                <c:pt idx="96">
                  <c:v>180940.91659979738</c:v>
                </c:pt>
                <c:pt idx="97">
                  <c:v>178045.86193420063</c:v>
                </c:pt>
                <c:pt idx="98">
                  <c:v>175197.12814325342</c:v>
                </c:pt>
                <c:pt idx="99">
                  <c:v>185708.95583184861</c:v>
                </c:pt>
              </c:numCache>
            </c:numRef>
          </c:yVal>
          <c:smooth val="0"/>
          <c:extLst>
            <c:ext xmlns:c16="http://schemas.microsoft.com/office/drawing/2014/chart" uri="{C3380CC4-5D6E-409C-BE32-E72D297353CC}">
              <c16:uniqueId val="{00000000-7A14-42F6-A1D1-FE58F9E0DB42}"/>
            </c:ext>
          </c:extLst>
        </c:ser>
        <c:dLbls>
          <c:showLegendKey val="0"/>
          <c:showVal val="0"/>
          <c:showCatName val="0"/>
          <c:showSerName val="0"/>
          <c:showPercent val="0"/>
          <c:showBubbleSize val="0"/>
        </c:dLbls>
        <c:axId val="104777384"/>
        <c:axId val="104780008"/>
      </c:scatterChart>
      <c:valAx>
        <c:axId val="104777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Trades</a:t>
                </a:r>
              </a:p>
            </c:rich>
          </c:tx>
          <c:layout>
            <c:manualLayout>
              <c:xMode val="edge"/>
              <c:yMode val="edge"/>
              <c:x val="0.35557868080560284"/>
              <c:y val="0.9130770941767871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80008"/>
        <c:crosses val="autoZero"/>
        <c:crossBetween val="midCat"/>
        <c:majorUnit val="10"/>
      </c:valAx>
      <c:valAx>
        <c:axId val="104780008"/>
        <c:scaling>
          <c:orientation val="minMax"/>
        </c:scaling>
        <c:delete val="0"/>
        <c:axPos val="r"/>
        <c:numFmt formatCode="_(* #,##0_);_(* \(#,##0\);_(* &quot;-&quot;_);_(@_)" sourceLinked="0"/>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77384"/>
        <c:crosses val="max"/>
        <c:crossBetween val="midCat"/>
        <c:dispUnits>
          <c:builtInUnit val="thousands"/>
          <c:dispUnitsLbl>
            <c:layout>
              <c:manualLayout>
                <c:xMode val="edge"/>
                <c:yMode val="edge"/>
                <c:x val="1.0433794939227291E-2"/>
                <c:y val="0.29831659931397464"/>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7669919627665"/>
          <c:y val="2.8719057176676444E-2"/>
          <c:w val="0.87311410649939947"/>
          <c:h val="0.788887036179301"/>
        </c:manualLayout>
      </c:layout>
      <c:scatterChart>
        <c:scatterStyle val="smoothMarker"/>
        <c:varyColors val="0"/>
        <c:ser>
          <c:idx val="0"/>
          <c:order val="0"/>
          <c:tx>
            <c:v>1:1 Adjusted RRR</c:v>
          </c:tx>
          <c:spPr>
            <a:ln w="19050" cap="rnd">
              <a:solidFill>
                <a:srgbClr val="DE2D26"/>
              </a:solidFill>
              <a:round/>
            </a:ln>
            <a:effectLst/>
          </c:spPr>
          <c:marker>
            <c:symbol val="circle"/>
            <c:size val="5"/>
            <c:spPr>
              <a:solidFill>
                <a:schemeClr val="tx1">
                  <a:lumMod val="95000"/>
                  <a:lumOff val="5000"/>
                </a:schemeClr>
              </a:solidFill>
              <a:ln w="9525">
                <a:solidFill>
                  <a:srgbClr val="DE2D26"/>
                </a:solidFill>
              </a:ln>
              <a:effectLst/>
            </c:spPr>
          </c:marker>
          <c:dLbls>
            <c:delete val="1"/>
          </c:dLbls>
          <c:xVal>
            <c:numRef>
              <c:f>RBAF!$P$8:$P$20</c:f>
              <c:numCache>
                <c:formatCode>General</c:formatCode>
                <c:ptCount val="13"/>
                <c:pt idx="0">
                  <c:v>8</c:v>
                </c:pt>
                <c:pt idx="1">
                  <c:v>7</c:v>
                </c:pt>
                <c:pt idx="2">
                  <c:v>6</c:v>
                </c:pt>
                <c:pt idx="3">
                  <c:v>5</c:v>
                </c:pt>
                <c:pt idx="4">
                  <c:v>4</c:v>
                </c:pt>
                <c:pt idx="5">
                  <c:v>3</c:v>
                </c:pt>
                <c:pt idx="6">
                  <c:v>2</c:v>
                </c:pt>
                <c:pt idx="7">
                  <c:v>1</c:v>
                </c:pt>
                <c:pt idx="8">
                  <c:v>0.7</c:v>
                </c:pt>
                <c:pt idx="9">
                  <c:v>0.39999999999999997</c:v>
                </c:pt>
                <c:pt idx="10">
                  <c:v>9.9999999999999978E-2</c:v>
                </c:pt>
              </c:numCache>
            </c:numRef>
          </c:xVal>
          <c:yVal>
            <c:numRef>
              <c:f>RBAF!$Q$8:$Q$20</c:f>
              <c:numCache>
                <c:formatCode>General</c:formatCode>
                <c:ptCount val="13"/>
                <c:pt idx="0">
                  <c:v>0.1111111111111111</c:v>
                </c:pt>
                <c:pt idx="1">
                  <c:v>0.125</c:v>
                </c:pt>
                <c:pt idx="2">
                  <c:v>0.14285714285714285</c:v>
                </c:pt>
                <c:pt idx="3">
                  <c:v>0.16666666666666666</c:v>
                </c:pt>
                <c:pt idx="4">
                  <c:v>0.2</c:v>
                </c:pt>
                <c:pt idx="5">
                  <c:v>0.25</c:v>
                </c:pt>
                <c:pt idx="6">
                  <c:v>0.33333333333333331</c:v>
                </c:pt>
                <c:pt idx="7">
                  <c:v>0.5</c:v>
                </c:pt>
                <c:pt idx="8">
                  <c:v>0.58823529411764708</c:v>
                </c:pt>
                <c:pt idx="9">
                  <c:v>0.7142857142857143</c:v>
                </c:pt>
                <c:pt idx="10">
                  <c:v>0.90909090909090906</c:v>
                </c:pt>
              </c:numCache>
            </c:numRef>
          </c:yVal>
          <c:smooth val="1"/>
          <c:extLst>
            <c:ext xmlns:c16="http://schemas.microsoft.com/office/drawing/2014/chart" uri="{C3380CC4-5D6E-409C-BE32-E72D297353CC}">
              <c16:uniqueId val="{00000000-EB2E-48B1-AC92-B1086F6C9E92}"/>
            </c:ext>
          </c:extLst>
        </c:ser>
        <c:ser>
          <c:idx val="2"/>
          <c:order val="1"/>
          <c:tx>
            <c:v>1:2 Adjusted RRR</c:v>
          </c:tx>
          <c:spPr>
            <a:ln w="9525" cap="rnd">
              <a:solidFill>
                <a:schemeClr val="tx1">
                  <a:lumMod val="50000"/>
                  <a:lumOff val="50000"/>
                </a:schemeClr>
              </a:solidFill>
              <a:round/>
            </a:ln>
            <a:effectLst/>
          </c:spPr>
          <c:marker>
            <c:symbol val="circle"/>
            <c:size val="5"/>
            <c:spPr>
              <a:solidFill>
                <a:schemeClr val="tx1">
                  <a:lumMod val="95000"/>
                  <a:lumOff val="5000"/>
                </a:schemeClr>
              </a:solidFill>
              <a:ln w="9525">
                <a:solidFill>
                  <a:schemeClr val="tx1">
                    <a:lumMod val="50000"/>
                    <a:lumOff val="50000"/>
                  </a:schemeClr>
                </a:solidFill>
              </a:ln>
              <a:effectLst/>
            </c:spPr>
          </c:marker>
          <c:dLbls>
            <c:delete val="1"/>
          </c:dLbls>
          <c:xVal>
            <c:numRef>
              <c:f>RBAF!$P$8:$P$18</c:f>
              <c:numCache>
                <c:formatCode>General</c:formatCode>
                <c:ptCount val="11"/>
                <c:pt idx="0">
                  <c:v>8</c:v>
                </c:pt>
                <c:pt idx="1">
                  <c:v>7</c:v>
                </c:pt>
                <c:pt idx="2">
                  <c:v>6</c:v>
                </c:pt>
                <c:pt idx="3">
                  <c:v>5</c:v>
                </c:pt>
                <c:pt idx="4">
                  <c:v>4</c:v>
                </c:pt>
                <c:pt idx="5">
                  <c:v>3</c:v>
                </c:pt>
                <c:pt idx="6">
                  <c:v>2</c:v>
                </c:pt>
                <c:pt idx="7">
                  <c:v>1</c:v>
                </c:pt>
                <c:pt idx="8">
                  <c:v>0.7</c:v>
                </c:pt>
                <c:pt idx="9">
                  <c:v>0.39999999999999997</c:v>
                </c:pt>
                <c:pt idx="10">
                  <c:v>9.9999999999999978E-2</c:v>
                </c:pt>
              </c:numCache>
            </c:numRef>
          </c:xVal>
          <c:yVal>
            <c:numRef>
              <c:f>RBAF!$R$8:$R$18</c:f>
              <c:numCache>
                <c:formatCode>General</c:formatCode>
                <c:ptCount val="11"/>
                <c:pt idx="0">
                  <c:v>0.2</c:v>
                </c:pt>
                <c:pt idx="1">
                  <c:v>0.22222222222222221</c:v>
                </c:pt>
                <c:pt idx="2">
                  <c:v>0.25</c:v>
                </c:pt>
                <c:pt idx="3">
                  <c:v>0.2857142857142857</c:v>
                </c:pt>
                <c:pt idx="4">
                  <c:v>0.33333333333333331</c:v>
                </c:pt>
                <c:pt idx="5">
                  <c:v>0.4</c:v>
                </c:pt>
                <c:pt idx="6">
                  <c:v>0.5</c:v>
                </c:pt>
                <c:pt idx="7">
                  <c:v>0.66666666666666663</c:v>
                </c:pt>
                <c:pt idx="8">
                  <c:v>0.7407407407407407</c:v>
                </c:pt>
                <c:pt idx="9">
                  <c:v>0.83333333333333337</c:v>
                </c:pt>
                <c:pt idx="10">
                  <c:v>0.95238095238095233</c:v>
                </c:pt>
              </c:numCache>
            </c:numRef>
          </c:yVal>
          <c:smooth val="1"/>
          <c:extLst>
            <c:ext xmlns:c16="http://schemas.microsoft.com/office/drawing/2014/chart" uri="{C3380CC4-5D6E-409C-BE32-E72D297353CC}">
              <c16:uniqueId val="{00000009-EB2E-48B1-AC92-B1086F6C9E92}"/>
            </c:ext>
          </c:extLst>
        </c:ser>
        <c:ser>
          <c:idx val="1"/>
          <c:order val="2"/>
          <c:tx>
            <c:v>breakeven</c:v>
          </c:tx>
          <c:spPr>
            <a:ln w="19050" cap="rnd">
              <a:solidFill>
                <a:schemeClr val="bg1">
                  <a:lumMod val="75000"/>
                </a:schemeClr>
              </a:solidFill>
              <a:round/>
            </a:ln>
            <a:effectLst/>
          </c:spPr>
          <c:marker>
            <c:symbol val="circle"/>
            <c:size val="5"/>
            <c:spPr>
              <a:solidFill>
                <a:schemeClr val="bg1">
                  <a:lumMod val="75000"/>
                </a:schemeClr>
              </a:solidFill>
              <a:ln w="9525">
                <a:solidFill>
                  <a:schemeClr val="bg1">
                    <a:lumMod val="75000"/>
                  </a:schemeClr>
                </a:solidFill>
              </a:ln>
              <a:effectLst/>
            </c:spPr>
          </c:marker>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FE5D-4C2C-ABBD-10AA57787D1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E2D26"/>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minus"/>
            <c:errValType val="percentage"/>
            <c:noEndCap val="0"/>
            <c:val val="100"/>
            <c:spPr>
              <a:noFill/>
              <a:ln w="9525" cap="flat" cmpd="sng" algn="ctr">
                <a:solidFill>
                  <a:schemeClr val="tx1">
                    <a:lumMod val="85000"/>
                    <a:lumOff val="15000"/>
                  </a:schemeClr>
                </a:solidFill>
                <a:round/>
              </a:ln>
              <a:effectLst/>
            </c:spPr>
          </c:errBars>
          <c:errBars>
            <c:errDir val="x"/>
            <c:errBarType val="minus"/>
            <c:errValType val="percentage"/>
            <c:noEndCap val="1"/>
            <c:val val="100"/>
            <c:spPr>
              <a:noFill/>
              <a:ln w="9525" cap="flat" cmpd="sng" algn="ctr">
                <a:solidFill>
                  <a:schemeClr val="tx1">
                    <a:lumMod val="85000"/>
                    <a:lumOff val="15000"/>
                  </a:schemeClr>
                </a:solidFill>
                <a:round/>
              </a:ln>
              <a:effectLst/>
            </c:spPr>
          </c:errBars>
          <c:xVal>
            <c:numRef>
              <c:f>RBAF!$P$5</c:f>
              <c:numCache>
                <c:formatCode>General</c:formatCode>
                <c:ptCount val="1"/>
                <c:pt idx="0">
                  <c:v>3.2</c:v>
                </c:pt>
              </c:numCache>
            </c:numRef>
          </c:xVal>
          <c:yVal>
            <c:numRef>
              <c:f>RBAF!$Q$5</c:f>
              <c:numCache>
                <c:formatCode>General</c:formatCode>
                <c:ptCount val="1"/>
                <c:pt idx="0">
                  <c:v>0.23809523809523808</c:v>
                </c:pt>
              </c:numCache>
            </c:numRef>
          </c:yVal>
          <c:smooth val="1"/>
          <c:extLst>
            <c:ext xmlns:c16="http://schemas.microsoft.com/office/drawing/2014/chart" uri="{C3380CC4-5D6E-409C-BE32-E72D297353CC}">
              <c16:uniqueId val="{00000001-EB2E-48B1-AC92-B1086F6C9E92}"/>
            </c:ext>
          </c:extLst>
        </c:ser>
        <c:ser>
          <c:idx val="3"/>
          <c:order val="3"/>
          <c:spPr>
            <a:ln w="19050" cap="rnd">
              <a:solidFill>
                <a:srgbClr val="DE2D26"/>
              </a:solidFill>
              <a:round/>
            </a:ln>
            <a:effectLst/>
          </c:spPr>
          <c:marker>
            <c:symbol val="circle"/>
            <c:size val="5"/>
            <c:spPr>
              <a:solidFill>
                <a:srgbClr val="DE2D26"/>
              </a:solidFill>
              <a:ln w="9525">
                <a:solidFill>
                  <a:srgbClr val="DE2D26"/>
                </a:solidFill>
              </a:ln>
              <a:effectLst/>
            </c:spPr>
          </c:marker>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0-FE5D-4C2C-ABBD-10AA57787D1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1"/>
            <c:val val="0"/>
            <c:spPr>
              <a:noFill/>
              <a:ln w="9525" cap="flat" cmpd="sng" algn="ctr">
                <a:solidFill>
                  <a:schemeClr val="tx1">
                    <a:lumMod val="65000"/>
                    <a:lumOff val="35000"/>
                  </a:schemeClr>
                </a:solidFill>
                <a:round/>
              </a:ln>
              <a:effectLst/>
            </c:spPr>
          </c:errBars>
          <c:errBars>
            <c:errDir val="x"/>
            <c:errBarType val="both"/>
            <c:errValType val="percentage"/>
            <c:noEndCap val="1"/>
            <c:val val="0"/>
            <c:spPr>
              <a:noFill/>
              <a:ln w="9525" cap="flat" cmpd="sng" algn="ctr">
                <a:solidFill>
                  <a:srgbClr val="DE2D26"/>
                </a:solidFill>
                <a:round/>
              </a:ln>
              <a:effectLst/>
            </c:spPr>
          </c:errBars>
          <c:xVal>
            <c:numRef>
              <c:f>RBAF!$P$4</c:f>
              <c:numCache>
                <c:formatCode>General</c:formatCode>
                <c:ptCount val="1"/>
                <c:pt idx="0">
                  <c:v>3.2</c:v>
                </c:pt>
              </c:numCache>
            </c:numRef>
          </c:xVal>
          <c:yVal>
            <c:numRef>
              <c:f>RBAF!$Q$4</c:f>
              <c:numCache>
                <c:formatCode>General</c:formatCode>
                <c:ptCount val="1"/>
                <c:pt idx="0">
                  <c:v>0.38461538461538458</c:v>
                </c:pt>
              </c:numCache>
            </c:numRef>
          </c:yVal>
          <c:smooth val="1"/>
          <c:extLst>
            <c:ext xmlns:c16="http://schemas.microsoft.com/office/drawing/2014/chart" uri="{C3380CC4-5D6E-409C-BE32-E72D297353CC}">
              <c16:uniqueId val="{0000000A-EB2E-48B1-AC92-B1086F6C9E92}"/>
            </c:ext>
          </c:extLst>
        </c:ser>
        <c:dLbls>
          <c:dLblPos val="t"/>
          <c:showLegendKey val="0"/>
          <c:showVal val="1"/>
          <c:showCatName val="0"/>
          <c:showSerName val="0"/>
          <c:showPercent val="0"/>
          <c:showBubbleSize val="0"/>
        </c:dLbls>
        <c:axId val="526111984"/>
        <c:axId val="526112640"/>
      </c:scatterChart>
      <c:valAx>
        <c:axId val="526111984"/>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r>
                  <a:rPr lang="en-US">
                    <a:solidFill>
                      <a:schemeClr val="tx1">
                        <a:lumMod val="75000"/>
                        <a:lumOff val="25000"/>
                      </a:schemeClr>
                    </a:solidFill>
                  </a:rPr>
                  <a:t>Risk Rewad Ratio</a:t>
                </a:r>
              </a:p>
            </c:rich>
          </c:tx>
          <c:layout>
            <c:manualLayout>
              <c:xMode val="edge"/>
              <c:yMode val="edge"/>
              <c:x val="0.44579984023736163"/>
              <c:y val="0.9021234630040789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526112640"/>
        <c:crosses val="autoZero"/>
        <c:crossBetween val="midCat"/>
      </c:valAx>
      <c:valAx>
        <c:axId val="5261126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r>
                  <a:rPr lang="en-US">
                    <a:solidFill>
                      <a:schemeClr val="tx1">
                        <a:lumMod val="75000"/>
                        <a:lumOff val="25000"/>
                      </a:schemeClr>
                    </a:solidFill>
                  </a:rPr>
                  <a:t>Required Win Rate%</a:t>
                </a:r>
              </a:p>
            </c:rich>
          </c:tx>
          <c:layout>
            <c:manualLayout>
              <c:xMode val="edge"/>
              <c:yMode val="edge"/>
              <c:x val="0"/>
              <c:y val="0.2745216822283033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526111984"/>
        <c:crosses val="autoZero"/>
        <c:crossBetween val="midCat"/>
      </c:valAx>
      <c:spPr>
        <a:noFill/>
        <a:ln>
          <a:noFill/>
        </a:ln>
        <a:effectLst/>
      </c:spPr>
    </c:plotArea>
    <c:legend>
      <c:legendPos val="r"/>
      <c:legendEntry>
        <c:idx val="2"/>
        <c:delete val="1"/>
      </c:legendEntry>
      <c:legendEntry>
        <c:idx val="3"/>
        <c:delete val="1"/>
      </c:legendEntry>
      <c:layout>
        <c:manualLayout>
          <c:xMode val="edge"/>
          <c:yMode val="edge"/>
          <c:x val="0.50713750611682018"/>
          <c:y val="1.5831408574657946E-3"/>
          <c:w val="0.42375438507079821"/>
          <c:h val="8.49319129226493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hyperlink" Target="#RBAF!I4"/><Relationship Id="rId3" Type="http://schemas.openxmlformats.org/officeDocument/2006/relationships/image" Target="../media/image9.png"/><Relationship Id="rId7" Type="http://schemas.openxmlformats.org/officeDocument/2006/relationships/image" Target="../media/image10.png"/><Relationship Id="rId12" Type="http://schemas.openxmlformats.org/officeDocument/2006/relationships/hyperlink" Target="#'Trade Plan'!E15"/><Relationship Id="rId2" Type="http://schemas.openxmlformats.org/officeDocument/2006/relationships/image" Target="../media/image8.png"/><Relationship Id="rId1" Type="http://schemas.openxmlformats.org/officeDocument/2006/relationships/image" Target="../media/image7.emf"/><Relationship Id="rId6" Type="http://schemas.openxmlformats.org/officeDocument/2006/relationships/hyperlink" Target="#'User Guide &amp; Settings'!A1"/><Relationship Id="rId11" Type="http://schemas.openxmlformats.org/officeDocument/2006/relationships/hyperlink" Target="#RBAF!C5"/><Relationship Id="rId5" Type="http://schemas.openxmlformats.org/officeDocument/2006/relationships/hyperlink" Target="#Expectancy!C7"/><Relationship Id="rId10" Type="http://schemas.openxmlformats.org/officeDocument/2006/relationships/hyperlink" Target="#Expectancy!C3"/><Relationship Id="rId4" Type="http://schemas.openxmlformats.org/officeDocument/2006/relationships/chart" Target="../charts/chart1.xml"/><Relationship Id="rId9" Type="http://schemas.openxmlformats.org/officeDocument/2006/relationships/hyperlink" Target="#'1-Tranche'!B13"/></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1-Tranche'!A52"/><Relationship Id="rId7" Type="http://schemas.openxmlformats.org/officeDocument/2006/relationships/hyperlink" Target="#Dashboard!A1"/><Relationship Id="rId2" Type="http://schemas.openxmlformats.org/officeDocument/2006/relationships/hyperlink" Target="#'1-Tranche'!A13"/><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hyperlink" Target="#'3-Tranche'!A1"/></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hyperlink" Target="#'1-Tranche'!A1"/><Relationship Id="rId2" Type="http://schemas.openxmlformats.org/officeDocument/2006/relationships/image" Target="../media/image7.emf"/><Relationship Id="rId1" Type="http://schemas.openxmlformats.org/officeDocument/2006/relationships/image" Target="../media/image12.png"/><Relationship Id="rId6" Type="http://schemas.openxmlformats.org/officeDocument/2006/relationships/image" Target="../media/image13.png"/><Relationship Id="rId5" Type="http://schemas.openxmlformats.org/officeDocument/2006/relationships/hyperlink" Target="#Dashboard!A1"/><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2.xml"/><Relationship Id="rId6" Type="http://schemas.openxmlformats.org/officeDocument/2006/relationships/hyperlink" Target="#Dashboard!A1"/><Relationship Id="rId5" Type="http://schemas.openxmlformats.org/officeDocument/2006/relationships/image" Target="../media/image7.emf"/><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chart" Target="../charts/chart3.xml"/><Relationship Id="rId6" Type="http://schemas.openxmlformats.org/officeDocument/2006/relationships/image" Target="../media/image13.png"/><Relationship Id="rId5" Type="http://schemas.openxmlformats.org/officeDocument/2006/relationships/hyperlink" Target="#Dashboard!A1"/><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2.png"/><Relationship Id="rId1" Type="http://schemas.openxmlformats.org/officeDocument/2006/relationships/image" Target="../media/image7.emf"/><Relationship Id="rId6" Type="http://schemas.openxmlformats.org/officeDocument/2006/relationships/image" Target="../media/image13.png"/><Relationship Id="rId5" Type="http://schemas.openxmlformats.org/officeDocument/2006/relationships/hyperlink" Target="#Dashboard!A1"/><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23.emf"/><Relationship Id="rId3" Type="http://schemas.openxmlformats.org/officeDocument/2006/relationships/hyperlink" Target="#Dashboard!A1"/><Relationship Id="rId7" Type="http://schemas.openxmlformats.org/officeDocument/2006/relationships/image" Target="../media/image17.png"/><Relationship Id="rId12" Type="http://schemas.openxmlformats.org/officeDocument/2006/relationships/image" Target="../media/image22.png"/><Relationship Id="rId2" Type="http://schemas.openxmlformats.org/officeDocument/2006/relationships/image" Target="../media/image11.png"/><Relationship Id="rId1" Type="http://schemas.openxmlformats.org/officeDocument/2006/relationships/image" Target="../media/image14.png"/><Relationship Id="rId6" Type="http://schemas.openxmlformats.org/officeDocument/2006/relationships/image" Target="../media/image16.png"/><Relationship Id="rId11" Type="http://schemas.openxmlformats.org/officeDocument/2006/relationships/image" Target="../media/image21.png"/><Relationship Id="rId5" Type="http://schemas.openxmlformats.org/officeDocument/2006/relationships/image" Target="../media/image15.png"/><Relationship Id="rId10" Type="http://schemas.openxmlformats.org/officeDocument/2006/relationships/image" Target="../media/image20.png"/><Relationship Id="rId4" Type="http://schemas.openxmlformats.org/officeDocument/2006/relationships/image" Target="../media/image13.png"/><Relationship Id="rId9"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14</xdr:col>
      <xdr:colOff>38101</xdr:colOff>
      <xdr:row>34</xdr:row>
      <xdr:rowOff>76201</xdr:rowOff>
    </xdr:from>
    <xdr:to>
      <xdr:col>16</xdr:col>
      <xdr:colOff>542926</xdr:colOff>
      <xdr:row>36</xdr:row>
      <xdr:rowOff>57150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05" r="25836" b="46414"/>
        <a:stretch/>
      </xdr:blipFill>
      <xdr:spPr>
        <a:xfrm>
          <a:off x="8258176" y="8267701"/>
          <a:ext cx="1752600" cy="400049"/>
        </a:xfrm>
        <a:prstGeom prst="rect">
          <a:avLst/>
        </a:prstGeom>
        <a:ln>
          <a:solidFill>
            <a:schemeClr val="tx1">
              <a:lumMod val="50000"/>
              <a:lumOff val="50000"/>
            </a:schemeClr>
          </a:solidFill>
        </a:ln>
      </xdr:spPr>
    </xdr:pic>
    <xdr:clientData/>
  </xdr:twoCellAnchor>
  <xdr:twoCellAnchor editAs="oneCell">
    <xdr:from>
      <xdr:col>3</xdr:col>
      <xdr:colOff>28574</xdr:colOff>
      <xdr:row>25</xdr:row>
      <xdr:rowOff>76200</xdr:rowOff>
    </xdr:from>
    <xdr:to>
      <xdr:col>10</xdr:col>
      <xdr:colOff>608312</xdr:colOff>
      <xdr:row>30</xdr:row>
      <xdr:rowOff>47625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4474" y="6343650"/>
          <a:ext cx="4875513" cy="1019175"/>
        </a:xfrm>
        <a:prstGeom prst="rect">
          <a:avLst/>
        </a:prstGeom>
        <a:ln>
          <a:solidFill>
            <a:schemeClr val="tx1">
              <a:lumMod val="65000"/>
              <a:lumOff val="35000"/>
            </a:schemeClr>
          </a:solidFill>
        </a:ln>
      </xdr:spPr>
    </xdr:pic>
    <xdr:clientData/>
  </xdr:twoCellAnchor>
  <xdr:twoCellAnchor>
    <xdr:from>
      <xdr:col>6</xdr:col>
      <xdr:colOff>180974</xdr:colOff>
      <xdr:row>15</xdr:row>
      <xdr:rowOff>95250</xdr:rowOff>
    </xdr:from>
    <xdr:to>
      <xdr:col>7</xdr:col>
      <xdr:colOff>47625</xdr:colOff>
      <xdr:row>16</xdr:row>
      <xdr:rowOff>209550</xdr:rowOff>
    </xdr:to>
    <xdr:sp macro="" textlink="">
      <xdr:nvSpPr>
        <xdr:cNvPr id="5" name="Down Arrow 4">
          <a:extLst>
            <a:ext uri="{FF2B5EF4-FFF2-40B4-BE49-F238E27FC236}">
              <a16:creationId xmlns:a16="http://schemas.microsoft.com/office/drawing/2014/main" id="{00000000-0008-0000-0000-000005000000}"/>
            </a:ext>
          </a:extLst>
        </xdr:cNvPr>
        <xdr:cNvSpPr/>
      </xdr:nvSpPr>
      <xdr:spPr>
        <a:xfrm>
          <a:off x="3495674" y="4000500"/>
          <a:ext cx="476251" cy="323850"/>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38099</xdr:colOff>
      <xdr:row>33</xdr:row>
      <xdr:rowOff>9524</xdr:rowOff>
    </xdr:from>
    <xdr:to>
      <xdr:col>7</xdr:col>
      <xdr:colOff>95250</xdr:colOff>
      <xdr:row>37</xdr:row>
      <xdr:rowOff>171449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33736"/>
        <a:stretch/>
      </xdr:blipFill>
      <xdr:spPr>
        <a:xfrm>
          <a:off x="1523999" y="7991474"/>
          <a:ext cx="2495551" cy="1000125"/>
        </a:xfrm>
        <a:prstGeom prst="rect">
          <a:avLst/>
        </a:prstGeom>
        <a:ln>
          <a:solidFill>
            <a:schemeClr val="tx1">
              <a:lumMod val="50000"/>
              <a:lumOff val="50000"/>
            </a:schemeClr>
          </a:solidFill>
        </a:ln>
      </xdr:spPr>
    </xdr:pic>
    <xdr:clientData/>
  </xdr:twoCellAnchor>
  <xdr:twoCellAnchor editAs="oneCell">
    <xdr:from>
      <xdr:col>3</xdr:col>
      <xdr:colOff>1</xdr:colOff>
      <xdr:row>18</xdr:row>
      <xdr:rowOff>9525</xdr:rowOff>
    </xdr:from>
    <xdr:to>
      <xdr:col>8</xdr:col>
      <xdr:colOff>285141</xdr:colOff>
      <xdr:row>19</xdr:row>
      <xdr:rowOff>28575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85901" y="4572000"/>
          <a:ext cx="3333140" cy="228600"/>
        </a:xfrm>
        <a:prstGeom prst="rect">
          <a:avLst/>
        </a:prstGeom>
      </xdr:spPr>
    </xdr:pic>
    <xdr:clientData/>
  </xdr:twoCellAnchor>
  <xdr:twoCellAnchor editAs="oneCell">
    <xdr:from>
      <xdr:col>6</xdr:col>
      <xdr:colOff>600074</xdr:colOff>
      <xdr:row>1</xdr:row>
      <xdr:rowOff>66674</xdr:rowOff>
    </xdr:from>
    <xdr:to>
      <xdr:col>7</xdr:col>
      <xdr:colOff>539114</xdr:colOff>
      <xdr:row>3</xdr:row>
      <xdr:rowOff>196214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14774" y="180974"/>
          <a:ext cx="548640" cy="548640"/>
        </a:xfrm>
        <a:prstGeom prst="rect">
          <a:avLst/>
        </a:prstGeom>
      </xdr:spPr>
    </xdr:pic>
    <xdr:clientData/>
  </xdr:twoCellAnchor>
  <xdr:twoCellAnchor editAs="oneCell">
    <xdr:from>
      <xdr:col>15</xdr:col>
      <xdr:colOff>361950</xdr:colOff>
      <xdr:row>6</xdr:row>
      <xdr:rowOff>114299</xdr:rowOff>
    </xdr:from>
    <xdr:to>
      <xdr:col>19</xdr:col>
      <xdr:colOff>19050</xdr:colOff>
      <xdr:row>9</xdr:row>
      <xdr:rowOff>150886</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220200" y="1162049"/>
          <a:ext cx="2095500" cy="665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76199</xdr:rowOff>
    </xdr:from>
    <xdr:to>
      <xdr:col>5</xdr:col>
      <xdr:colOff>0</xdr:colOff>
      <xdr:row>20</xdr:row>
      <xdr:rowOff>161924</xdr:rowOff>
    </xdr:to>
    <xdr:sp macro="" textlink="">
      <xdr:nvSpPr>
        <xdr:cNvPr id="30" name="Rectangle 29">
          <a:extLst>
            <a:ext uri="{FF2B5EF4-FFF2-40B4-BE49-F238E27FC236}">
              <a16:creationId xmlns:a16="http://schemas.microsoft.com/office/drawing/2014/main" id="{AD48AFB8-5DCA-4EF1-BD2C-B5FE92609427}"/>
            </a:ext>
          </a:extLst>
        </xdr:cNvPr>
        <xdr:cNvSpPr/>
      </xdr:nvSpPr>
      <xdr:spPr>
        <a:xfrm>
          <a:off x="104775" y="847724"/>
          <a:ext cx="1857375" cy="3762375"/>
        </a:xfrm>
        <a:prstGeom prst="rect">
          <a:avLst/>
        </a:prstGeom>
        <a:solidFill>
          <a:schemeClr val="bg1">
            <a:lumMod val="95000"/>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0</xdr:row>
      <xdr:rowOff>1</xdr:rowOff>
    </xdr:from>
    <xdr:to>
      <xdr:col>28</xdr:col>
      <xdr:colOff>76200</xdr:colOff>
      <xdr:row>4</xdr:row>
      <xdr:rowOff>85726</xdr:rowOff>
    </xdr:to>
    <xdr:sp macro="" textlink="">
      <xdr:nvSpPr>
        <xdr:cNvPr id="32" name="Rectangle 31">
          <a:extLst>
            <a:ext uri="{FF2B5EF4-FFF2-40B4-BE49-F238E27FC236}">
              <a16:creationId xmlns:a16="http://schemas.microsoft.com/office/drawing/2014/main" id="{A91D3A9F-917C-4D72-B858-58241A87A902}"/>
            </a:ext>
          </a:extLst>
        </xdr:cNvPr>
        <xdr:cNvSpPr/>
      </xdr:nvSpPr>
      <xdr:spPr>
        <a:xfrm>
          <a:off x="9525" y="1"/>
          <a:ext cx="12639675" cy="857250"/>
        </a:xfrm>
        <a:prstGeom prst="rect">
          <a:avLst/>
        </a:prstGeom>
        <a:solidFill>
          <a:schemeClr val="bg1">
            <a:lumMod val="95000"/>
            <a:alpha val="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85725</xdr:colOff>
      <xdr:row>5</xdr:row>
      <xdr:rowOff>47625</xdr:rowOff>
    </xdr:from>
    <xdr:to>
      <xdr:col>20</xdr:col>
      <xdr:colOff>19050</xdr:colOff>
      <xdr:row>20</xdr:row>
      <xdr:rowOff>123825</xdr:rowOff>
    </xdr:to>
    <xdr:sp macro="" textlink="">
      <xdr:nvSpPr>
        <xdr:cNvPr id="29" name="Rectangle 28">
          <a:extLst>
            <a:ext uri="{FF2B5EF4-FFF2-40B4-BE49-F238E27FC236}">
              <a16:creationId xmlns:a16="http://schemas.microsoft.com/office/drawing/2014/main" id="{60C97317-E5A3-45AA-941F-20A04CCCCB83}"/>
            </a:ext>
          </a:extLst>
        </xdr:cNvPr>
        <xdr:cNvSpPr/>
      </xdr:nvSpPr>
      <xdr:spPr>
        <a:xfrm>
          <a:off x="3914775" y="914400"/>
          <a:ext cx="4943475" cy="3657600"/>
        </a:xfrm>
        <a:prstGeom prst="rect">
          <a:avLst/>
        </a:prstGeom>
        <a:solidFill>
          <a:schemeClr val="bg1">
            <a:lumMod val="95000"/>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49357</xdr:colOff>
      <xdr:row>0</xdr:row>
      <xdr:rowOff>0</xdr:rowOff>
    </xdr:from>
    <xdr:to>
      <xdr:col>4</xdr:col>
      <xdr:colOff>329115</xdr:colOff>
      <xdr:row>1</xdr:row>
      <xdr:rowOff>19431</xdr:rowOff>
    </xdr:to>
    <xdr:pic>
      <xdr:nvPicPr>
        <xdr:cNvPr id="7" name="Picture 6">
          <a:extLst>
            <a:ext uri="{FF2B5EF4-FFF2-40B4-BE49-F238E27FC236}">
              <a16:creationId xmlns:a16="http://schemas.microsoft.com/office/drawing/2014/main" id="{D1DB8F8C-C5C0-4E79-B2B6-5E34222D2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198" y="0"/>
          <a:ext cx="1542253" cy="218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223405</xdr:colOff>
      <xdr:row>18</xdr:row>
      <xdr:rowOff>113434</xdr:rowOff>
    </xdr:from>
    <xdr:to>
      <xdr:col>7</xdr:col>
      <xdr:colOff>328180</xdr:colOff>
      <xdr:row>19</xdr:row>
      <xdr:rowOff>133350</xdr:rowOff>
    </xdr:to>
    <xdr:sp macro="[0]!applydata.applydata" textlink="">
      <xdr:nvSpPr>
        <xdr:cNvPr id="8" name="Rectangle: Rounded Corners 7">
          <a:extLst>
            <a:ext uri="{FF2B5EF4-FFF2-40B4-BE49-F238E27FC236}">
              <a16:creationId xmlns:a16="http://schemas.microsoft.com/office/drawing/2014/main" id="{5F055201-0D7E-4020-915C-36D2A717D30E}"/>
            </a:ext>
          </a:extLst>
        </xdr:cNvPr>
        <xdr:cNvSpPr/>
      </xdr:nvSpPr>
      <xdr:spPr>
        <a:xfrm>
          <a:off x="566305" y="4132984"/>
          <a:ext cx="3009900" cy="258041"/>
        </a:xfrm>
        <a:prstGeom prst="roundRect">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APPLY</a:t>
          </a:r>
        </a:p>
      </xdr:txBody>
    </xdr:sp>
    <xdr:clientData/>
  </xdr:twoCellAnchor>
  <xdr:twoCellAnchor>
    <xdr:from>
      <xdr:col>27</xdr:col>
      <xdr:colOff>272416</xdr:colOff>
      <xdr:row>0</xdr:row>
      <xdr:rowOff>42347</xdr:rowOff>
    </xdr:from>
    <xdr:to>
      <xdr:col>27</xdr:col>
      <xdr:colOff>455296</xdr:colOff>
      <xdr:row>0</xdr:row>
      <xdr:rowOff>179507</xdr:rowOff>
    </xdr:to>
    <xdr:sp macro="[0]!CloseProgram" textlink="">
      <xdr:nvSpPr>
        <xdr:cNvPr id="10" name="Rectangle 9">
          <a:extLst>
            <a:ext uri="{FF2B5EF4-FFF2-40B4-BE49-F238E27FC236}">
              <a16:creationId xmlns:a16="http://schemas.microsoft.com/office/drawing/2014/main" id="{7CEBF16D-35C9-4872-BF16-736D1B5BDB6E}"/>
            </a:ext>
          </a:extLst>
        </xdr:cNvPr>
        <xdr:cNvSpPr/>
      </xdr:nvSpPr>
      <xdr:spPr>
        <a:xfrm>
          <a:off x="12273916" y="42347"/>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26</xdr:col>
      <xdr:colOff>351559</xdr:colOff>
      <xdr:row>0</xdr:row>
      <xdr:rowOff>47819</xdr:rowOff>
    </xdr:from>
    <xdr:to>
      <xdr:col>26</xdr:col>
      <xdr:colOff>526176</xdr:colOff>
      <xdr:row>0</xdr:row>
      <xdr:rowOff>184979</xdr:rowOff>
    </xdr:to>
    <xdr:pic macro="[0]!Minimize">
      <xdr:nvPicPr>
        <xdr:cNvPr id="11" name="Picture 10">
          <a:extLst>
            <a:ext uri="{FF2B5EF4-FFF2-40B4-BE49-F238E27FC236}">
              <a16:creationId xmlns:a16="http://schemas.microsoft.com/office/drawing/2014/main" id="{13AC6A11-BBE0-44A0-9905-6B66C61C04E8}"/>
            </a:ext>
          </a:extLst>
        </xdr:cNvPr>
        <xdr:cNvPicPr>
          <a:picLocks noChangeAspect="1"/>
        </xdr:cNvPicPr>
      </xdr:nvPicPr>
      <xdr:blipFill>
        <a:blip xmlns:r="http://schemas.openxmlformats.org/officeDocument/2006/relationships" r:embed="rId2"/>
        <a:stretch>
          <a:fillRect/>
        </a:stretch>
      </xdr:blipFill>
      <xdr:spPr>
        <a:xfrm>
          <a:off x="11400559" y="47819"/>
          <a:ext cx="174617" cy="137160"/>
        </a:xfrm>
        <a:prstGeom prst="rect">
          <a:avLst/>
        </a:prstGeom>
      </xdr:spPr>
    </xdr:pic>
    <xdr:clientData/>
  </xdr:twoCellAnchor>
  <xdr:twoCellAnchor editAs="oneCell">
    <xdr:from>
      <xdr:col>27</xdr:col>
      <xdr:colOff>36687</xdr:colOff>
      <xdr:row>0</xdr:row>
      <xdr:rowOff>38100</xdr:rowOff>
    </xdr:from>
    <xdr:to>
      <xdr:col>27</xdr:col>
      <xdr:colOff>219567</xdr:colOff>
      <xdr:row>0</xdr:row>
      <xdr:rowOff>184146</xdr:rowOff>
    </xdr:to>
    <xdr:pic macro="[0]!Maximize">
      <xdr:nvPicPr>
        <xdr:cNvPr id="12" name="Picture 11">
          <a:extLst>
            <a:ext uri="{FF2B5EF4-FFF2-40B4-BE49-F238E27FC236}">
              <a16:creationId xmlns:a16="http://schemas.microsoft.com/office/drawing/2014/main" id="{8E45EEF5-968D-4CA4-9AC1-A1289F8490FF}"/>
            </a:ext>
          </a:extLst>
        </xdr:cNvPr>
        <xdr:cNvPicPr>
          <a:picLocks noChangeAspect="1"/>
        </xdr:cNvPicPr>
      </xdr:nvPicPr>
      <xdr:blipFill>
        <a:blip xmlns:r="http://schemas.openxmlformats.org/officeDocument/2006/relationships" r:embed="rId3"/>
        <a:stretch>
          <a:fillRect/>
        </a:stretch>
      </xdr:blipFill>
      <xdr:spPr>
        <a:xfrm>
          <a:off x="12038187" y="38100"/>
          <a:ext cx="182880" cy="146046"/>
        </a:xfrm>
        <a:prstGeom prst="rect">
          <a:avLst/>
        </a:prstGeom>
      </xdr:spPr>
    </xdr:pic>
    <xdr:clientData/>
  </xdr:twoCellAnchor>
  <xdr:twoCellAnchor>
    <xdr:from>
      <xdr:col>10</xdr:col>
      <xdr:colOff>57150</xdr:colOff>
      <xdr:row>6</xdr:row>
      <xdr:rowOff>0</xdr:rowOff>
    </xdr:from>
    <xdr:to>
      <xdr:col>19</xdr:col>
      <xdr:colOff>38100</xdr:colOff>
      <xdr:row>15</xdr:row>
      <xdr:rowOff>123824</xdr:rowOff>
    </xdr:to>
    <xdr:graphicFrame macro="">
      <xdr:nvGraphicFramePr>
        <xdr:cNvPr id="17" name="Chart 16">
          <a:extLst>
            <a:ext uri="{FF2B5EF4-FFF2-40B4-BE49-F238E27FC236}">
              <a16:creationId xmlns:a16="http://schemas.microsoft.com/office/drawing/2014/main" id="{C85A3AFE-152D-4275-8560-12D5927E6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114300</xdr:colOff>
      <xdr:row>16</xdr:row>
      <xdr:rowOff>57149</xdr:rowOff>
    </xdr:from>
    <xdr:to>
      <xdr:col>19</xdr:col>
      <xdr:colOff>17318</xdr:colOff>
      <xdr:row>19</xdr:row>
      <xdr:rowOff>104775</xdr:rowOff>
    </xdr:to>
    <xdr:sp macro="" textlink="">
      <xdr:nvSpPr>
        <xdr:cNvPr id="2" name="Rectangle: Rounded Corners 1">
          <a:hlinkClick xmlns:r="http://schemas.openxmlformats.org/officeDocument/2006/relationships" r:id="rId5" tooltip="Expectancy Sheet"/>
          <a:extLst>
            <a:ext uri="{FF2B5EF4-FFF2-40B4-BE49-F238E27FC236}">
              <a16:creationId xmlns:a16="http://schemas.microsoft.com/office/drawing/2014/main" id="{E013A419-01E6-4DE8-9249-1000CB560BBE}"/>
            </a:ext>
          </a:extLst>
        </xdr:cNvPr>
        <xdr:cNvSpPr/>
      </xdr:nvSpPr>
      <xdr:spPr>
        <a:xfrm>
          <a:off x="7715250" y="3600449"/>
          <a:ext cx="1065068" cy="762001"/>
        </a:xfrm>
        <a:prstGeom prst="roundRect">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50" b="0"/>
            <a:t>COMPARE</a:t>
          </a:r>
          <a:r>
            <a:rPr lang="en-US" sz="1050" b="0" baseline="0"/>
            <a:t> STRATEGY EXPECTANCY</a:t>
          </a:r>
          <a:endParaRPr lang="en-US" sz="1050" b="0"/>
        </a:p>
      </xdr:txBody>
    </xdr:sp>
    <xdr:clientData/>
  </xdr:twoCellAnchor>
  <xdr:twoCellAnchor editAs="oneCell">
    <xdr:from>
      <xdr:col>27</xdr:col>
      <xdr:colOff>9525</xdr:colOff>
      <xdr:row>1</xdr:row>
      <xdr:rowOff>161925</xdr:rowOff>
    </xdr:from>
    <xdr:to>
      <xdr:col>27</xdr:col>
      <xdr:colOff>466725</xdr:colOff>
      <xdr:row>3</xdr:row>
      <xdr:rowOff>152400</xdr:rowOff>
    </xdr:to>
    <xdr:pic>
      <xdr:nvPicPr>
        <xdr:cNvPr id="9" name="Picture 8">
          <a:hlinkClick xmlns:r="http://schemas.openxmlformats.org/officeDocument/2006/relationships" r:id="rId6" tooltip="Settings"/>
          <a:extLst>
            <a:ext uri="{FF2B5EF4-FFF2-40B4-BE49-F238E27FC236}">
              <a16:creationId xmlns:a16="http://schemas.microsoft.com/office/drawing/2014/main" id="{C98060D5-231F-4442-9452-07F83A3DDB42}"/>
            </a:ext>
          </a:extLst>
        </xdr:cNvPr>
        <xdr:cNvPicPr>
          <a:picLocks noChangeAspect="1"/>
        </xdr:cNvPicPr>
      </xdr:nvPicPr>
      <xdr:blipFill>
        <a:blip xmlns:r="http://schemas.openxmlformats.org/officeDocument/2006/relationships" r:embed="rId7">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1963400" y="361950"/>
          <a:ext cx="457200" cy="457200"/>
        </a:xfrm>
        <a:prstGeom prst="rect">
          <a:avLst/>
        </a:prstGeom>
      </xdr:spPr>
    </xdr:pic>
    <xdr:clientData/>
  </xdr:twoCellAnchor>
  <xdr:twoCellAnchor editAs="oneCell">
    <xdr:from>
      <xdr:col>2</xdr:col>
      <xdr:colOff>57150</xdr:colOff>
      <xdr:row>1</xdr:row>
      <xdr:rowOff>209550</xdr:rowOff>
    </xdr:from>
    <xdr:to>
      <xdr:col>2</xdr:col>
      <xdr:colOff>438150</xdr:colOff>
      <xdr:row>3</xdr:row>
      <xdr:rowOff>123825</xdr:rowOff>
    </xdr:to>
    <xdr:pic>
      <xdr:nvPicPr>
        <xdr:cNvPr id="16" name="Picture 15">
          <a:extLst>
            <a:ext uri="{FF2B5EF4-FFF2-40B4-BE49-F238E27FC236}">
              <a16:creationId xmlns:a16="http://schemas.microsoft.com/office/drawing/2014/main" id="{621EB619-9E31-48B1-A4B4-966E5EECA0C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00050" y="409575"/>
          <a:ext cx="381000" cy="381000"/>
        </a:xfrm>
        <a:prstGeom prst="rect">
          <a:avLst/>
        </a:prstGeom>
      </xdr:spPr>
    </xdr:pic>
    <xdr:clientData/>
  </xdr:twoCellAnchor>
  <xdr:twoCellAnchor>
    <xdr:from>
      <xdr:col>3</xdr:col>
      <xdr:colOff>47626</xdr:colOff>
      <xdr:row>1</xdr:row>
      <xdr:rowOff>133350</xdr:rowOff>
    </xdr:from>
    <xdr:to>
      <xdr:col>6</xdr:col>
      <xdr:colOff>542926</xdr:colOff>
      <xdr:row>4</xdr:row>
      <xdr:rowOff>19050</xdr:rowOff>
    </xdr:to>
    <xdr:sp macro="" textlink="">
      <xdr:nvSpPr>
        <xdr:cNvPr id="18" name="Rectangle: Rounded Corners 17">
          <a:extLst>
            <a:ext uri="{FF2B5EF4-FFF2-40B4-BE49-F238E27FC236}">
              <a16:creationId xmlns:a16="http://schemas.microsoft.com/office/drawing/2014/main" id="{E4606DC7-6516-469B-9A01-24AFEA70D087}"/>
            </a:ext>
          </a:extLst>
        </xdr:cNvPr>
        <xdr:cNvSpPr/>
      </xdr:nvSpPr>
      <xdr:spPr>
        <a:xfrm>
          <a:off x="971551" y="333375"/>
          <a:ext cx="2238375" cy="542925"/>
        </a:xfrm>
        <a:prstGeom prst="roundRect">
          <a:avLst/>
        </a:prstGeom>
        <a:no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123825</xdr:colOff>
      <xdr:row>1</xdr:row>
      <xdr:rowOff>171449</xdr:rowOff>
    </xdr:from>
    <xdr:to>
      <xdr:col>12</xdr:col>
      <xdr:colOff>85725</xdr:colOff>
      <xdr:row>4</xdr:row>
      <xdr:rowOff>19049</xdr:rowOff>
    </xdr:to>
    <xdr:sp macro="" textlink="">
      <xdr:nvSpPr>
        <xdr:cNvPr id="19" name="Rectangle: Rounded Corners 18">
          <a:hlinkClick xmlns:r="http://schemas.openxmlformats.org/officeDocument/2006/relationships" r:id="rId9" tooltip="Position Sizing"/>
          <a:extLst>
            <a:ext uri="{FF2B5EF4-FFF2-40B4-BE49-F238E27FC236}">
              <a16:creationId xmlns:a16="http://schemas.microsoft.com/office/drawing/2014/main" id="{E4183D02-394C-449F-9FEE-37C46BC062CA}"/>
            </a:ext>
          </a:extLst>
        </xdr:cNvPr>
        <xdr:cNvSpPr/>
      </xdr:nvSpPr>
      <xdr:spPr>
        <a:xfrm>
          <a:off x="3371850" y="371474"/>
          <a:ext cx="1409700" cy="504825"/>
        </a:xfrm>
        <a:prstGeom prst="roundRect">
          <a:avLst/>
        </a:prstGeom>
        <a:gradFill>
          <a:gsLst>
            <a:gs pos="0">
              <a:schemeClr val="tx1">
                <a:lumMod val="95000"/>
                <a:lumOff val="5000"/>
              </a:schemeClr>
            </a:gs>
            <a:gs pos="22000">
              <a:schemeClr val="tx1">
                <a:lumMod val="95000"/>
                <a:lumOff val="5000"/>
              </a:schemeClr>
            </a:gs>
            <a:gs pos="100000">
              <a:schemeClr val="bg2">
                <a:lumMod val="10000"/>
              </a:schemeClr>
            </a:gs>
          </a:gsLst>
          <a:lin ang="5400000" scaled="1"/>
        </a:gra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1">
                  <a:lumMod val="50000"/>
                  <a:lumOff val="50000"/>
                </a:schemeClr>
              </a:solidFill>
            </a:rPr>
            <a:t>POSITION</a:t>
          </a:r>
          <a:r>
            <a:rPr lang="en-US" sz="1400">
              <a:solidFill>
                <a:schemeClr val="tx1">
                  <a:lumMod val="50000"/>
                  <a:lumOff val="50000"/>
                </a:schemeClr>
              </a:solidFill>
            </a:rPr>
            <a:t> </a:t>
          </a:r>
          <a:r>
            <a:rPr lang="en-US" sz="1200">
              <a:solidFill>
                <a:schemeClr val="tx1">
                  <a:lumMod val="50000"/>
                  <a:lumOff val="50000"/>
                </a:schemeClr>
              </a:solidFill>
            </a:rPr>
            <a:t>SIZING</a:t>
          </a:r>
          <a:endParaRPr lang="en-US" sz="1400">
            <a:solidFill>
              <a:schemeClr val="tx1">
                <a:lumMod val="50000"/>
                <a:lumOff val="50000"/>
              </a:schemeClr>
            </a:solidFill>
          </a:endParaRPr>
        </a:p>
      </xdr:txBody>
    </xdr:sp>
    <xdr:clientData/>
  </xdr:twoCellAnchor>
  <xdr:twoCellAnchor>
    <xdr:from>
      <xdr:col>12</xdr:col>
      <xdr:colOff>171451</xdr:colOff>
      <xdr:row>1</xdr:row>
      <xdr:rowOff>171449</xdr:rowOff>
    </xdr:from>
    <xdr:to>
      <xdr:col>16</xdr:col>
      <xdr:colOff>47625</xdr:colOff>
      <xdr:row>4</xdr:row>
      <xdr:rowOff>19049</xdr:rowOff>
    </xdr:to>
    <xdr:sp macro="" textlink="">
      <xdr:nvSpPr>
        <xdr:cNvPr id="25" name="Rectangle: Rounded Corners 24">
          <a:hlinkClick xmlns:r="http://schemas.openxmlformats.org/officeDocument/2006/relationships" r:id="rId10" tooltip="Expectancy"/>
          <a:extLst>
            <a:ext uri="{FF2B5EF4-FFF2-40B4-BE49-F238E27FC236}">
              <a16:creationId xmlns:a16="http://schemas.microsoft.com/office/drawing/2014/main" id="{40DBB3E9-B01D-4C4F-A445-243E024D668E}"/>
            </a:ext>
          </a:extLst>
        </xdr:cNvPr>
        <xdr:cNvSpPr/>
      </xdr:nvSpPr>
      <xdr:spPr>
        <a:xfrm>
          <a:off x="4867276" y="371474"/>
          <a:ext cx="2200274" cy="504825"/>
        </a:xfrm>
        <a:prstGeom prst="roundRect">
          <a:avLst/>
        </a:prstGeom>
        <a:gradFill>
          <a:gsLst>
            <a:gs pos="0">
              <a:schemeClr val="tx1">
                <a:lumMod val="95000"/>
                <a:lumOff val="5000"/>
              </a:schemeClr>
            </a:gs>
            <a:gs pos="22000">
              <a:schemeClr val="tx1">
                <a:lumMod val="95000"/>
                <a:lumOff val="5000"/>
              </a:schemeClr>
            </a:gs>
            <a:gs pos="100000">
              <a:schemeClr val="bg2">
                <a:lumMod val="10000"/>
              </a:schemeClr>
            </a:gs>
          </a:gsLst>
          <a:lin ang="5400000" scaled="1"/>
        </a:gra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1">
                  <a:lumMod val="50000"/>
                  <a:lumOff val="50000"/>
                </a:schemeClr>
              </a:solidFill>
            </a:rPr>
            <a:t>EXPECTANCY CALCULATOR</a:t>
          </a:r>
        </a:p>
      </xdr:txBody>
    </xdr:sp>
    <xdr:clientData/>
  </xdr:twoCellAnchor>
  <xdr:twoCellAnchor>
    <xdr:from>
      <xdr:col>16</xdr:col>
      <xdr:colOff>142876</xdr:colOff>
      <xdr:row>1</xdr:row>
      <xdr:rowOff>171449</xdr:rowOff>
    </xdr:from>
    <xdr:to>
      <xdr:col>24</xdr:col>
      <xdr:colOff>38100</xdr:colOff>
      <xdr:row>4</xdr:row>
      <xdr:rowOff>19049</xdr:rowOff>
    </xdr:to>
    <xdr:sp macro="" textlink="">
      <xdr:nvSpPr>
        <xdr:cNvPr id="26" name="Rectangle: Rounded Corners 25">
          <a:hlinkClick xmlns:r="http://schemas.openxmlformats.org/officeDocument/2006/relationships" r:id="rId11" tooltip="RBAF"/>
          <a:extLst>
            <a:ext uri="{FF2B5EF4-FFF2-40B4-BE49-F238E27FC236}">
              <a16:creationId xmlns:a16="http://schemas.microsoft.com/office/drawing/2014/main" id="{C28FDED3-A3C4-49AA-B4DB-3A0BF8ED38DB}"/>
            </a:ext>
          </a:extLst>
        </xdr:cNvPr>
        <xdr:cNvSpPr/>
      </xdr:nvSpPr>
      <xdr:spPr>
        <a:xfrm>
          <a:off x="7162801" y="371474"/>
          <a:ext cx="3086099" cy="504825"/>
        </a:xfrm>
        <a:prstGeom prst="roundRect">
          <a:avLst/>
        </a:prstGeom>
        <a:gradFill>
          <a:gsLst>
            <a:gs pos="0">
              <a:schemeClr val="tx1">
                <a:lumMod val="95000"/>
                <a:lumOff val="5000"/>
              </a:schemeClr>
            </a:gs>
            <a:gs pos="22000">
              <a:schemeClr val="tx1">
                <a:lumMod val="95000"/>
                <a:lumOff val="5000"/>
              </a:schemeClr>
            </a:gs>
            <a:gs pos="100000">
              <a:schemeClr val="bg2">
                <a:lumMod val="10000"/>
              </a:schemeClr>
            </a:gs>
          </a:gsLst>
          <a:lin ang="5400000" scaled="1"/>
        </a:gra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1">
                  <a:lumMod val="50000"/>
                  <a:lumOff val="50000"/>
                </a:schemeClr>
              </a:solidFill>
            </a:rPr>
            <a:t>RESULT BASED ASSUMPTION FORECAST</a:t>
          </a:r>
        </a:p>
      </xdr:txBody>
    </xdr:sp>
    <xdr:clientData/>
  </xdr:twoCellAnchor>
  <xdr:twoCellAnchor>
    <xdr:from>
      <xdr:col>24</xdr:col>
      <xdr:colOff>133352</xdr:colOff>
      <xdr:row>1</xdr:row>
      <xdr:rowOff>171449</xdr:rowOff>
    </xdr:from>
    <xdr:to>
      <xdr:col>26</xdr:col>
      <xdr:colOff>371476</xdr:colOff>
      <xdr:row>4</xdr:row>
      <xdr:rowOff>19049</xdr:rowOff>
    </xdr:to>
    <xdr:sp macro="" textlink="">
      <xdr:nvSpPr>
        <xdr:cNvPr id="27" name="Rectangle: Rounded Corners 26">
          <a:hlinkClick xmlns:r="http://schemas.openxmlformats.org/officeDocument/2006/relationships" r:id="rId12" tooltip="Trade plan"/>
          <a:extLst>
            <a:ext uri="{FF2B5EF4-FFF2-40B4-BE49-F238E27FC236}">
              <a16:creationId xmlns:a16="http://schemas.microsoft.com/office/drawing/2014/main" id="{1E471CF4-19ED-4D69-919E-132931322E84}"/>
            </a:ext>
          </a:extLst>
        </xdr:cNvPr>
        <xdr:cNvSpPr/>
      </xdr:nvSpPr>
      <xdr:spPr>
        <a:xfrm>
          <a:off x="10344152" y="371474"/>
          <a:ext cx="1400174" cy="504825"/>
        </a:xfrm>
        <a:prstGeom prst="roundRect">
          <a:avLst/>
        </a:prstGeom>
        <a:gradFill>
          <a:gsLst>
            <a:gs pos="0">
              <a:schemeClr val="tx1">
                <a:lumMod val="95000"/>
                <a:lumOff val="5000"/>
              </a:schemeClr>
            </a:gs>
            <a:gs pos="22000">
              <a:schemeClr val="tx1">
                <a:lumMod val="95000"/>
                <a:lumOff val="5000"/>
              </a:schemeClr>
            </a:gs>
            <a:gs pos="100000">
              <a:schemeClr val="bg2">
                <a:lumMod val="10000"/>
              </a:schemeClr>
            </a:gs>
          </a:gsLst>
          <a:lin ang="5400000" scaled="1"/>
        </a:gra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1">
                  <a:lumMod val="50000"/>
                  <a:lumOff val="50000"/>
                </a:schemeClr>
              </a:solidFill>
            </a:rPr>
            <a:t>TRADE PLAN</a:t>
          </a:r>
        </a:p>
      </xdr:txBody>
    </xdr:sp>
    <xdr:clientData/>
  </xdr:twoCellAnchor>
  <xdr:twoCellAnchor>
    <xdr:from>
      <xdr:col>20</xdr:col>
      <xdr:colOff>88323</xdr:colOff>
      <xdr:row>5</xdr:row>
      <xdr:rowOff>32905</xdr:rowOff>
    </xdr:from>
    <xdr:to>
      <xdr:col>28</xdr:col>
      <xdr:colOff>78798</xdr:colOff>
      <xdr:row>20</xdr:row>
      <xdr:rowOff>143741</xdr:rowOff>
    </xdr:to>
    <xdr:sp macro="" textlink="">
      <xdr:nvSpPr>
        <xdr:cNvPr id="28" name="Rectangle 27">
          <a:extLst>
            <a:ext uri="{FF2B5EF4-FFF2-40B4-BE49-F238E27FC236}">
              <a16:creationId xmlns:a16="http://schemas.microsoft.com/office/drawing/2014/main" id="{B94630D0-D12B-4818-9613-995AB9762577}"/>
            </a:ext>
          </a:extLst>
        </xdr:cNvPr>
        <xdr:cNvSpPr/>
      </xdr:nvSpPr>
      <xdr:spPr>
        <a:xfrm>
          <a:off x="8764732" y="898814"/>
          <a:ext cx="3454111" cy="3738995"/>
        </a:xfrm>
        <a:prstGeom prst="rect">
          <a:avLst/>
        </a:prstGeom>
        <a:solidFill>
          <a:schemeClr val="bg1">
            <a:lumMod val="95000"/>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104776</xdr:colOff>
      <xdr:row>9</xdr:row>
      <xdr:rowOff>180975</xdr:rowOff>
    </xdr:from>
    <xdr:to>
      <xdr:col>27</xdr:col>
      <xdr:colOff>466726</xdr:colOff>
      <xdr:row>10</xdr:row>
      <xdr:rowOff>257175</xdr:rowOff>
    </xdr:to>
    <xdr:sp macro="" textlink="">
      <xdr:nvSpPr>
        <xdr:cNvPr id="20" name="Rectangle: Rounded Corners 19">
          <a:hlinkClick xmlns:r="http://schemas.openxmlformats.org/officeDocument/2006/relationships" r:id="rId13" tooltip="Winrate VS RRR"/>
          <a:extLst>
            <a:ext uri="{FF2B5EF4-FFF2-40B4-BE49-F238E27FC236}">
              <a16:creationId xmlns:a16="http://schemas.microsoft.com/office/drawing/2014/main" id="{5FB5E4CF-E90C-4C51-9B8C-1246C168C3E3}"/>
            </a:ext>
          </a:extLst>
        </xdr:cNvPr>
        <xdr:cNvSpPr/>
      </xdr:nvSpPr>
      <xdr:spPr>
        <a:xfrm>
          <a:off x="11106151" y="2047875"/>
          <a:ext cx="904875" cy="276225"/>
        </a:xfrm>
        <a:prstGeom prst="roundRect">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DETAILS</a:t>
          </a:r>
        </a:p>
      </xdr:txBody>
    </xdr:sp>
    <xdr:clientData/>
  </xdr:twoCellAnchor>
  <xdr:twoCellAnchor>
    <xdr:from>
      <xdr:col>26</xdr:col>
      <xdr:colOff>504825</xdr:colOff>
      <xdr:row>1</xdr:row>
      <xdr:rowOff>114300</xdr:rowOff>
    </xdr:from>
    <xdr:to>
      <xdr:col>27</xdr:col>
      <xdr:colOff>552451</xdr:colOff>
      <xdr:row>4</xdr:row>
      <xdr:rowOff>19050</xdr:rowOff>
    </xdr:to>
    <xdr:sp macro="" textlink="">
      <xdr:nvSpPr>
        <xdr:cNvPr id="21" name="Rectangle: Rounded Corners 20">
          <a:extLst>
            <a:ext uri="{FF2B5EF4-FFF2-40B4-BE49-F238E27FC236}">
              <a16:creationId xmlns:a16="http://schemas.microsoft.com/office/drawing/2014/main" id="{C5C2FAE4-4B12-4CE2-92FE-2C8880AD89A9}"/>
            </a:ext>
          </a:extLst>
        </xdr:cNvPr>
        <xdr:cNvSpPr/>
      </xdr:nvSpPr>
      <xdr:spPr>
        <a:xfrm>
          <a:off x="11877675" y="314325"/>
          <a:ext cx="628651" cy="561975"/>
        </a:xfrm>
        <a:prstGeom prst="roundRect">
          <a:avLst/>
        </a:prstGeom>
        <a:no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14</xdr:row>
      <xdr:rowOff>9525</xdr:rowOff>
    </xdr:from>
    <xdr:to>
      <xdr:col>11</xdr:col>
      <xdr:colOff>190500</xdr:colOff>
      <xdr:row>18</xdr:row>
      <xdr:rowOff>38101</xdr:rowOff>
    </xdr:to>
    <xdr:sp macro="" textlink="">
      <xdr:nvSpPr>
        <xdr:cNvPr id="22" name="TextBox 21">
          <a:extLst>
            <a:ext uri="{FF2B5EF4-FFF2-40B4-BE49-F238E27FC236}">
              <a16:creationId xmlns:a16="http://schemas.microsoft.com/office/drawing/2014/main" id="{90382801-9303-4F1E-98E3-260B5B0157D0}"/>
            </a:ext>
          </a:extLst>
        </xdr:cNvPr>
        <xdr:cNvSpPr txBox="1"/>
      </xdr:nvSpPr>
      <xdr:spPr>
        <a:xfrm>
          <a:off x="2038350" y="3162300"/>
          <a:ext cx="2266950" cy="981076"/>
        </a:xfrm>
        <a:prstGeom prst="rect">
          <a:avLst/>
        </a:prstGeom>
        <a:solidFill>
          <a:schemeClr val="tx1">
            <a:lumMod val="85000"/>
            <a:lumOff val="15000"/>
            <a:alpha val="53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i="1">
              <a:solidFill>
                <a:schemeClr val="bg1"/>
              </a:solidFill>
            </a:rPr>
            <a:t>Get</a:t>
          </a:r>
          <a:r>
            <a:rPr lang="en-US" sz="1200" i="1" baseline="0">
              <a:solidFill>
                <a:schemeClr val="bg1"/>
              </a:solidFill>
            </a:rPr>
            <a:t> the </a:t>
          </a:r>
        </a:p>
        <a:p>
          <a:pPr algn="r"/>
          <a:r>
            <a:rPr lang="en-US" sz="1200" i="1" baseline="0">
              <a:solidFill>
                <a:schemeClr val="bg1"/>
              </a:solidFill>
            </a:rPr>
            <a:t>full version </a:t>
          </a:r>
        </a:p>
        <a:p>
          <a:pPr algn="r"/>
          <a:r>
            <a:rPr lang="en-US" sz="1200" i="1" baseline="0">
              <a:solidFill>
                <a:schemeClr val="bg1"/>
              </a:solidFill>
            </a:rPr>
            <a:t>to unlock </a:t>
          </a:r>
        </a:p>
        <a:p>
          <a:pPr algn="r"/>
          <a:r>
            <a:rPr lang="en-US" sz="1200" i="1" baseline="0">
              <a:solidFill>
                <a:schemeClr val="bg1"/>
              </a:solidFill>
            </a:rPr>
            <a:t>this feature</a:t>
          </a:r>
          <a:endParaRPr lang="en-US" sz="1400" i="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1038227</xdr:colOff>
      <xdr:row>1</xdr:row>
      <xdr:rowOff>66676</xdr:rowOff>
    </xdr:from>
    <xdr:to>
      <xdr:col>42</xdr:col>
      <xdr:colOff>1301197</xdr:colOff>
      <xdr:row>2</xdr:row>
      <xdr:rowOff>85726</xdr:rowOff>
    </xdr:to>
    <xdr:pic macro="[0]!refresh">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02" y="266701"/>
          <a:ext cx="262970" cy="266700"/>
        </a:xfrm>
        <a:prstGeom prst="rect">
          <a:avLst/>
        </a:prstGeom>
      </xdr:spPr>
    </xdr:pic>
    <xdr:clientData/>
  </xdr:twoCellAnchor>
  <xdr:twoCellAnchor>
    <xdr:from>
      <xdr:col>36</xdr:col>
      <xdr:colOff>704850</xdr:colOff>
      <xdr:row>49</xdr:row>
      <xdr:rowOff>66675</xdr:rowOff>
    </xdr:from>
    <xdr:to>
      <xdr:col>37</xdr:col>
      <xdr:colOff>304800</xdr:colOff>
      <xdr:row>51</xdr:row>
      <xdr:rowOff>66673</xdr:rowOff>
    </xdr:to>
    <xdr:sp macro="" textlink="">
      <xdr:nvSpPr>
        <xdr:cNvPr id="2" name="Down Arrow 1">
          <a:hlinkClick xmlns:r="http://schemas.openxmlformats.org/officeDocument/2006/relationships" r:id="rId2" tooltip="Up"/>
          <a:extLst>
            <a:ext uri="{FF2B5EF4-FFF2-40B4-BE49-F238E27FC236}">
              <a16:creationId xmlns:a16="http://schemas.microsoft.com/office/drawing/2014/main" id="{00000000-0008-0000-0100-000002000000}"/>
            </a:ext>
          </a:extLst>
        </xdr:cNvPr>
        <xdr:cNvSpPr/>
      </xdr:nvSpPr>
      <xdr:spPr>
        <a:xfrm flipV="1">
          <a:off x="6229350" y="11820525"/>
          <a:ext cx="590550" cy="457198"/>
        </a:xfrm>
        <a:prstGeom prst="downArrow">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42</xdr:col>
      <xdr:colOff>171449</xdr:colOff>
      <xdr:row>3</xdr:row>
      <xdr:rowOff>38098</xdr:rowOff>
    </xdr:from>
    <xdr:to>
      <xdr:col>42</xdr:col>
      <xdr:colOff>1268729</xdr:colOff>
      <xdr:row>5</xdr:row>
      <xdr:rowOff>194308</xdr:rowOff>
    </xdr:to>
    <xdr:sp macro="" textlink="">
      <xdr:nvSpPr>
        <xdr:cNvPr id="4" name="Rectangle: Rounded Corners 3">
          <a:hlinkClick xmlns:r="http://schemas.openxmlformats.org/officeDocument/2006/relationships" r:id="rId3" tooltip="Guidelines"/>
          <a:extLst>
            <a:ext uri="{FF2B5EF4-FFF2-40B4-BE49-F238E27FC236}">
              <a16:creationId xmlns:a16="http://schemas.microsoft.com/office/drawing/2014/main" id="{F7E02635-A6D7-4F48-A7BF-4EEBA31FC030}"/>
            </a:ext>
          </a:extLst>
        </xdr:cNvPr>
        <xdr:cNvSpPr/>
      </xdr:nvSpPr>
      <xdr:spPr>
        <a:xfrm>
          <a:off x="11544299" y="704848"/>
          <a:ext cx="1097280" cy="594360"/>
        </a:xfrm>
        <a:prstGeom prst="round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lumMod val="75000"/>
                </a:schemeClr>
              </a:solidFill>
            </a:rPr>
            <a:t>Position Sizing Guidelines</a:t>
          </a:r>
        </a:p>
      </xdr:txBody>
    </xdr:sp>
    <xdr:clientData/>
  </xdr:twoCellAnchor>
  <xdr:twoCellAnchor editAs="oneCell">
    <xdr:from>
      <xdr:col>1</xdr:col>
      <xdr:colOff>9525</xdr:colOff>
      <xdr:row>0</xdr:row>
      <xdr:rowOff>38100</xdr:rowOff>
    </xdr:from>
    <xdr:to>
      <xdr:col>1</xdr:col>
      <xdr:colOff>146685</xdr:colOff>
      <xdr:row>0</xdr:row>
      <xdr:rowOff>175260</xdr:rowOff>
    </xdr:to>
    <xdr:pic>
      <xdr:nvPicPr>
        <xdr:cNvPr id="9" name="Picture 8">
          <a:extLst>
            <a:ext uri="{FF2B5EF4-FFF2-40B4-BE49-F238E27FC236}">
              <a16:creationId xmlns:a16="http://schemas.microsoft.com/office/drawing/2014/main" id="{DFAB2AA4-0CD9-4B8A-8E53-A87A89918E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4775" y="38100"/>
          <a:ext cx="137160" cy="137160"/>
        </a:xfrm>
        <a:prstGeom prst="rect">
          <a:avLst/>
        </a:prstGeom>
      </xdr:spPr>
    </xdr:pic>
    <xdr:clientData/>
  </xdr:twoCellAnchor>
  <xdr:twoCellAnchor>
    <xdr:from>
      <xdr:col>42</xdr:col>
      <xdr:colOff>1205866</xdr:colOff>
      <xdr:row>0</xdr:row>
      <xdr:rowOff>42347</xdr:rowOff>
    </xdr:from>
    <xdr:to>
      <xdr:col>42</xdr:col>
      <xdr:colOff>1388746</xdr:colOff>
      <xdr:row>0</xdr:row>
      <xdr:rowOff>179507</xdr:rowOff>
    </xdr:to>
    <xdr:sp macro="[0]!CloseProgram" textlink="">
      <xdr:nvSpPr>
        <xdr:cNvPr id="10" name="Rectangle 9">
          <a:extLst>
            <a:ext uri="{FF2B5EF4-FFF2-40B4-BE49-F238E27FC236}">
              <a16:creationId xmlns:a16="http://schemas.microsoft.com/office/drawing/2014/main" id="{EE1C510A-82B8-4961-B3DA-EEE1A676FFD6}"/>
            </a:ext>
          </a:extLst>
        </xdr:cNvPr>
        <xdr:cNvSpPr/>
      </xdr:nvSpPr>
      <xdr:spPr>
        <a:xfrm>
          <a:off x="12550141" y="42347"/>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42</xdr:col>
      <xdr:colOff>762000</xdr:colOff>
      <xdr:row>0</xdr:row>
      <xdr:rowOff>47819</xdr:rowOff>
    </xdr:from>
    <xdr:to>
      <xdr:col>42</xdr:col>
      <xdr:colOff>934019</xdr:colOff>
      <xdr:row>0</xdr:row>
      <xdr:rowOff>184979</xdr:rowOff>
    </xdr:to>
    <xdr:pic macro="[0]!Minimize">
      <xdr:nvPicPr>
        <xdr:cNvPr id="11" name="Picture 10">
          <a:extLst>
            <a:ext uri="{FF2B5EF4-FFF2-40B4-BE49-F238E27FC236}">
              <a16:creationId xmlns:a16="http://schemas.microsoft.com/office/drawing/2014/main" id="{57228256-F6FD-4360-B77A-B801E074EA9D}"/>
            </a:ext>
          </a:extLst>
        </xdr:cNvPr>
        <xdr:cNvPicPr>
          <a:picLocks noChangeAspect="1"/>
        </xdr:cNvPicPr>
      </xdr:nvPicPr>
      <xdr:blipFill>
        <a:blip xmlns:r="http://schemas.openxmlformats.org/officeDocument/2006/relationships" r:embed="rId5"/>
        <a:stretch>
          <a:fillRect/>
        </a:stretch>
      </xdr:blipFill>
      <xdr:spPr>
        <a:xfrm>
          <a:off x="12106275" y="47819"/>
          <a:ext cx="172019" cy="137160"/>
        </a:xfrm>
        <a:prstGeom prst="rect">
          <a:avLst/>
        </a:prstGeom>
      </xdr:spPr>
    </xdr:pic>
    <xdr:clientData/>
  </xdr:twoCellAnchor>
  <xdr:twoCellAnchor editAs="oneCell">
    <xdr:from>
      <xdr:col>42</xdr:col>
      <xdr:colOff>970137</xdr:colOff>
      <xdr:row>0</xdr:row>
      <xdr:rowOff>38100</xdr:rowOff>
    </xdr:from>
    <xdr:to>
      <xdr:col>42</xdr:col>
      <xdr:colOff>1153017</xdr:colOff>
      <xdr:row>0</xdr:row>
      <xdr:rowOff>184146</xdr:rowOff>
    </xdr:to>
    <xdr:pic macro="[0]!Maximize">
      <xdr:nvPicPr>
        <xdr:cNvPr id="12" name="Picture 11">
          <a:extLst>
            <a:ext uri="{FF2B5EF4-FFF2-40B4-BE49-F238E27FC236}">
              <a16:creationId xmlns:a16="http://schemas.microsoft.com/office/drawing/2014/main" id="{645F35AA-6A60-4641-86A9-4D19AC28B5A9}"/>
            </a:ext>
          </a:extLst>
        </xdr:cNvPr>
        <xdr:cNvPicPr>
          <a:picLocks noChangeAspect="1"/>
        </xdr:cNvPicPr>
      </xdr:nvPicPr>
      <xdr:blipFill>
        <a:blip xmlns:r="http://schemas.openxmlformats.org/officeDocument/2006/relationships" r:embed="rId6"/>
        <a:stretch>
          <a:fillRect/>
        </a:stretch>
      </xdr:blipFill>
      <xdr:spPr>
        <a:xfrm>
          <a:off x="12314412" y="38100"/>
          <a:ext cx="182880" cy="146046"/>
        </a:xfrm>
        <a:prstGeom prst="rect">
          <a:avLst/>
        </a:prstGeom>
      </xdr:spPr>
    </xdr:pic>
    <xdr:clientData/>
  </xdr:twoCellAnchor>
  <xdr:twoCellAnchor editAs="oneCell">
    <xdr:from>
      <xdr:col>1</xdr:col>
      <xdr:colOff>0</xdr:colOff>
      <xdr:row>1</xdr:row>
      <xdr:rowOff>57150</xdr:rowOff>
    </xdr:from>
    <xdr:to>
      <xdr:col>1</xdr:col>
      <xdr:colOff>274320</xdr:colOff>
      <xdr:row>2</xdr:row>
      <xdr:rowOff>83820</xdr:rowOff>
    </xdr:to>
    <xdr:pic>
      <xdr:nvPicPr>
        <xdr:cNvPr id="13" name="Picture 12">
          <a:hlinkClick xmlns:r="http://schemas.openxmlformats.org/officeDocument/2006/relationships" r:id="rId7" tooltip="Home"/>
          <a:extLst>
            <a:ext uri="{FF2B5EF4-FFF2-40B4-BE49-F238E27FC236}">
              <a16:creationId xmlns:a16="http://schemas.microsoft.com/office/drawing/2014/main" id="{281D36E6-CBCD-4885-A448-D763983ECD8A}"/>
            </a:ext>
          </a:extLst>
        </xdr:cNvPr>
        <xdr:cNvPicPr>
          <a:picLocks noChangeAspect="1"/>
        </xdr:cNvPicPr>
      </xdr:nvPicPr>
      <xdr:blipFill>
        <a:blip xmlns:r="http://schemas.openxmlformats.org/officeDocument/2006/relationships" r:embed="rId8">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95250" y="257175"/>
          <a:ext cx="274320" cy="274320"/>
        </a:xfrm>
        <a:prstGeom prst="rect">
          <a:avLst/>
        </a:prstGeom>
      </xdr:spPr>
    </xdr:pic>
    <xdr:clientData/>
  </xdr:twoCellAnchor>
  <xdr:twoCellAnchor>
    <xdr:from>
      <xdr:col>42</xdr:col>
      <xdr:colOff>171450</xdr:colOff>
      <xdr:row>6</xdr:row>
      <xdr:rowOff>38100</xdr:rowOff>
    </xdr:from>
    <xdr:to>
      <xdr:col>42</xdr:col>
      <xdr:colOff>1264920</xdr:colOff>
      <xdr:row>8</xdr:row>
      <xdr:rowOff>194310</xdr:rowOff>
    </xdr:to>
    <xdr:sp macro="" textlink="">
      <xdr:nvSpPr>
        <xdr:cNvPr id="14" name="Rectangle: Rounded Corners 13">
          <a:hlinkClick xmlns:r="http://schemas.openxmlformats.org/officeDocument/2006/relationships" r:id="rId9" tooltip="3-Tranche"/>
          <a:extLst>
            <a:ext uri="{FF2B5EF4-FFF2-40B4-BE49-F238E27FC236}">
              <a16:creationId xmlns:a16="http://schemas.microsoft.com/office/drawing/2014/main" id="{24257862-3A2F-4E69-A05D-FB11498D89A7}"/>
            </a:ext>
          </a:extLst>
        </xdr:cNvPr>
        <xdr:cNvSpPr/>
      </xdr:nvSpPr>
      <xdr:spPr>
        <a:xfrm>
          <a:off x="11544300" y="1362075"/>
          <a:ext cx="1093470" cy="594360"/>
        </a:xfrm>
        <a:prstGeom prst="roundRect">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Advance</a:t>
          </a:r>
          <a:r>
            <a:rPr lang="en-US" sz="1100" baseline="0"/>
            <a:t> </a:t>
          </a:r>
        </a:p>
        <a:p>
          <a:pPr algn="ctr"/>
          <a:r>
            <a:rPr lang="en-US" sz="1100"/>
            <a:t>(3-Tranche)&gt;&gt;</a:t>
          </a:r>
        </a:p>
      </xdr:txBody>
    </xdr:sp>
    <xdr:clientData/>
  </xdr:twoCellAnchor>
  <xdr:twoCellAnchor>
    <xdr:from>
      <xdr:col>3</xdr:col>
      <xdr:colOff>781050</xdr:colOff>
      <xdr:row>15</xdr:row>
      <xdr:rowOff>123825</xdr:rowOff>
    </xdr:from>
    <xdr:to>
      <xdr:col>41</xdr:col>
      <xdr:colOff>723900</xdr:colOff>
      <xdr:row>20</xdr:row>
      <xdr:rowOff>0</xdr:rowOff>
    </xdr:to>
    <xdr:sp macro="" textlink="">
      <xdr:nvSpPr>
        <xdr:cNvPr id="15" name="TextBox 14">
          <a:extLst>
            <a:ext uri="{FF2B5EF4-FFF2-40B4-BE49-F238E27FC236}">
              <a16:creationId xmlns:a16="http://schemas.microsoft.com/office/drawing/2014/main" id="{591FA944-3B7B-42DB-B166-D38A30EE535B}"/>
            </a:ext>
          </a:extLst>
        </xdr:cNvPr>
        <xdr:cNvSpPr txBox="1"/>
      </xdr:nvSpPr>
      <xdr:spPr>
        <a:xfrm>
          <a:off x="2238375" y="3419475"/>
          <a:ext cx="8486775" cy="11144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i="1">
              <a:solidFill>
                <a:schemeClr val="tx1">
                  <a:lumMod val="50000"/>
                  <a:lumOff val="50000"/>
                </a:schemeClr>
              </a:solidFill>
            </a:rPr>
            <a:t>This trial</a:t>
          </a:r>
          <a:r>
            <a:rPr lang="en-US" sz="1000" i="1" baseline="0">
              <a:solidFill>
                <a:schemeClr val="tx1">
                  <a:lumMod val="50000"/>
                  <a:lumOff val="50000"/>
                </a:schemeClr>
              </a:solidFill>
            </a:rPr>
            <a:t> version is limited to 3 logs</a:t>
          </a:r>
          <a:endParaRPr lang="en-US" sz="1000" i="1">
            <a:solidFill>
              <a:schemeClr val="tx1">
                <a:lumMod val="50000"/>
                <a:lumOff val="50000"/>
              </a:schemeClr>
            </a:solidFill>
          </a:endParaRPr>
        </a:p>
        <a:p>
          <a:pPr algn="ctr"/>
          <a:r>
            <a:rPr lang="en-US" sz="4000">
              <a:solidFill>
                <a:schemeClr val="tx1">
                  <a:lumMod val="50000"/>
                  <a:lumOff val="50000"/>
                </a:schemeClr>
              </a:solidFill>
            </a:rPr>
            <a:t>Contact Us For Full Version Details</a:t>
          </a:r>
        </a:p>
        <a:p>
          <a:pPr algn="ctr"/>
          <a:r>
            <a:rPr lang="en-US" sz="1400" i="1">
              <a:solidFill>
                <a:schemeClr val="tx1">
                  <a:lumMod val="50000"/>
                  <a:lumOff val="50000"/>
                </a:schemeClr>
              </a:solidFill>
            </a:rPr>
            <a:t>aaespreadsheets@gmail.com</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41</xdr:col>
      <xdr:colOff>228602</xdr:colOff>
      <xdr:row>1</xdr:row>
      <xdr:rowOff>9526</xdr:rowOff>
    </xdr:from>
    <xdr:to>
      <xdr:col>41</xdr:col>
      <xdr:colOff>491572</xdr:colOff>
      <xdr:row>2</xdr:row>
      <xdr:rowOff>28576</xdr:rowOff>
    </xdr:to>
    <xdr:pic macro="[0]!Picture2_Click">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2" y="57151"/>
          <a:ext cx="262970" cy="266700"/>
        </a:xfrm>
        <a:prstGeom prst="rect">
          <a:avLst/>
        </a:prstGeom>
      </xdr:spPr>
    </xdr:pic>
    <xdr:clientData/>
  </xdr:twoCellAnchor>
  <xdr:twoCellAnchor editAs="oneCell">
    <xdr:from>
      <xdr:col>41</xdr:col>
      <xdr:colOff>228602</xdr:colOff>
      <xdr:row>1</xdr:row>
      <xdr:rowOff>9526</xdr:rowOff>
    </xdr:from>
    <xdr:to>
      <xdr:col>41</xdr:col>
      <xdr:colOff>491572</xdr:colOff>
      <xdr:row>2</xdr:row>
      <xdr:rowOff>28576</xdr:rowOff>
    </xdr:to>
    <xdr:pic macro="[0]!refresh">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1427" y="57151"/>
          <a:ext cx="262970" cy="266700"/>
        </a:xfrm>
        <a:prstGeom prst="rect">
          <a:avLst/>
        </a:prstGeom>
      </xdr:spPr>
    </xdr:pic>
    <xdr:clientData/>
  </xdr:twoCellAnchor>
  <xdr:twoCellAnchor editAs="oneCell">
    <xdr:from>
      <xdr:col>0</xdr:col>
      <xdr:colOff>0</xdr:colOff>
      <xdr:row>0</xdr:row>
      <xdr:rowOff>0</xdr:rowOff>
    </xdr:from>
    <xdr:to>
      <xdr:col>3</xdr:col>
      <xdr:colOff>183642</xdr:colOff>
      <xdr:row>1</xdr:row>
      <xdr:rowOff>19431</xdr:rowOff>
    </xdr:to>
    <xdr:pic>
      <xdr:nvPicPr>
        <xdr:cNvPr id="10" name="Picture 9">
          <a:extLst>
            <a:ext uri="{FF2B5EF4-FFF2-40B4-BE49-F238E27FC236}">
              <a16:creationId xmlns:a16="http://schemas.microsoft.com/office/drawing/2014/main" id="{AE5B594A-DDE3-4AF1-BD22-2D1BCDB0D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536192" cy="21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46</xdr:col>
      <xdr:colOff>1043941</xdr:colOff>
      <xdr:row>0</xdr:row>
      <xdr:rowOff>42347</xdr:rowOff>
    </xdr:from>
    <xdr:to>
      <xdr:col>46</xdr:col>
      <xdr:colOff>1226821</xdr:colOff>
      <xdr:row>0</xdr:row>
      <xdr:rowOff>179507</xdr:rowOff>
    </xdr:to>
    <xdr:sp macro="[0]!CloseProgram" textlink="">
      <xdr:nvSpPr>
        <xdr:cNvPr id="8" name="Rectangle 7">
          <a:extLst>
            <a:ext uri="{FF2B5EF4-FFF2-40B4-BE49-F238E27FC236}">
              <a16:creationId xmlns:a16="http://schemas.microsoft.com/office/drawing/2014/main" id="{7EE6F836-6E56-4A11-8321-DFD048807DC9}"/>
            </a:ext>
          </a:extLst>
        </xdr:cNvPr>
        <xdr:cNvSpPr/>
      </xdr:nvSpPr>
      <xdr:spPr>
        <a:xfrm>
          <a:off x="12531091" y="42347"/>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46</xdr:col>
      <xdr:colOff>600075</xdr:colOff>
      <xdr:row>0</xdr:row>
      <xdr:rowOff>47819</xdr:rowOff>
    </xdr:from>
    <xdr:to>
      <xdr:col>46</xdr:col>
      <xdr:colOff>772094</xdr:colOff>
      <xdr:row>0</xdr:row>
      <xdr:rowOff>184979</xdr:rowOff>
    </xdr:to>
    <xdr:pic macro="[0]!Minimize">
      <xdr:nvPicPr>
        <xdr:cNvPr id="9" name="Picture 8">
          <a:extLst>
            <a:ext uri="{FF2B5EF4-FFF2-40B4-BE49-F238E27FC236}">
              <a16:creationId xmlns:a16="http://schemas.microsoft.com/office/drawing/2014/main" id="{FEA44AA1-974D-47EE-AF71-2822F114B9C7}"/>
            </a:ext>
          </a:extLst>
        </xdr:cNvPr>
        <xdr:cNvPicPr>
          <a:picLocks noChangeAspect="1"/>
        </xdr:cNvPicPr>
      </xdr:nvPicPr>
      <xdr:blipFill>
        <a:blip xmlns:r="http://schemas.openxmlformats.org/officeDocument/2006/relationships" r:embed="rId3"/>
        <a:stretch>
          <a:fillRect/>
        </a:stretch>
      </xdr:blipFill>
      <xdr:spPr>
        <a:xfrm>
          <a:off x="12087225" y="47819"/>
          <a:ext cx="172019" cy="137160"/>
        </a:xfrm>
        <a:prstGeom prst="rect">
          <a:avLst/>
        </a:prstGeom>
      </xdr:spPr>
    </xdr:pic>
    <xdr:clientData/>
  </xdr:twoCellAnchor>
  <xdr:twoCellAnchor editAs="oneCell">
    <xdr:from>
      <xdr:col>46</xdr:col>
      <xdr:colOff>808212</xdr:colOff>
      <xdr:row>0</xdr:row>
      <xdr:rowOff>38100</xdr:rowOff>
    </xdr:from>
    <xdr:to>
      <xdr:col>46</xdr:col>
      <xdr:colOff>991092</xdr:colOff>
      <xdr:row>0</xdr:row>
      <xdr:rowOff>184146</xdr:rowOff>
    </xdr:to>
    <xdr:pic macro="[0]!Maximize">
      <xdr:nvPicPr>
        <xdr:cNvPr id="11" name="Picture 10">
          <a:extLst>
            <a:ext uri="{FF2B5EF4-FFF2-40B4-BE49-F238E27FC236}">
              <a16:creationId xmlns:a16="http://schemas.microsoft.com/office/drawing/2014/main" id="{1F71725E-A032-4F64-92AB-8DC815AC7C4C}"/>
            </a:ext>
          </a:extLst>
        </xdr:cNvPr>
        <xdr:cNvPicPr>
          <a:picLocks noChangeAspect="1"/>
        </xdr:cNvPicPr>
      </xdr:nvPicPr>
      <xdr:blipFill>
        <a:blip xmlns:r="http://schemas.openxmlformats.org/officeDocument/2006/relationships" r:embed="rId4"/>
        <a:stretch>
          <a:fillRect/>
        </a:stretch>
      </xdr:blipFill>
      <xdr:spPr>
        <a:xfrm>
          <a:off x="12295362" y="38100"/>
          <a:ext cx="182880" cy="146046"/>
        </a:xfrm>
        <a:prstGeom prst="rect">
          <a:avLst/>
        </a:prstGeom>
      </xdr:spPr>
    </xdr:pic>
    <xdr:clientData/>
  </xdr:twoCellAnchor>
  <xdr:twoCellAnchor editAs="oneCell">
    <xdr:from>
      <xdr:col>0</xdr:col>
      <xdr:colOff>85725</xdr:colOff>
      <xdr:row>1</xdr:row>
      <xdr:rowOff>47625</xdr:rowOff>
    </xdr:from>
    <xdr:to>
      <xdr:col>1</xdr:col>
      <xdr:colOff>264795</xdr:colOff>
      <xdr:row>2</xdr:row>
      <xdr:rowOff>74295</xdr:rowOff>
    </xdr:to>
    <xdr:pic>
      <xdr:nvPicPr>
        <xdr:cNvPr id="5" name="Picture 4">
          <a:hlinkClick xmlns:r="http://schemas.openxmlformats.org/officeDocument/2006/relationships" r:id="rId5" tooltip="Home"/>
          <a:extLst>
            <a:ext uri="{FF2B5EF4-FFF2-40B4-BE49-F238E27FC236}">
              <a16:creationId xmlns:a16="http://schemas.microsoft.com/office/drawing/2014/main" id="{9C6494CB-6D51-4F94-B632-E4C6423810D5}"/>
            </a:ext>
          </a:extLst>
        </xdr:cNvPr>
        <xdr:cNvPicPr>
          <a:picLocks noChangeAspect="1"/>
        </xdr:cNvPicPr>
      </xdr:nvPicPr>
      <xdr:blipFill>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85725" y="247650"/>
          <a:ext cx="274320" cy="274320"/>
        </a:xfrm>
        <a:prstGeom prst="rect">
          <a:avLst/>
        </a:prstGeom>
      </xdr:spPr>
    </xdr:pic>
    <xdr:clientData/>
  </xdr:twoCellAnchor>
  <xdr:twoCellAnchor>
    <xdr:from>
      <xdr:col>45</xdr:col>
      <xdr:colOff>314325</xdr:colOff>
      <xdr:row>8</xdr:row>
      <xdr:rowOff>66675</xdr:rowOff>
    </xdr:from>
    <xdr:to>
      <xdr:col>46</xdr:col>
      <xdr:colOff>1028700</xdr:colOff>
      <xdr:row>9</xdr:row>
      <xdr:rowOff>57149</xdr:rowOff>
    </xdr:to>
    <xdr:sp macro="" textlink="">
      <xdr:nvSpPr>
        <xdr:cNvPr id="3" name="Rectangle: Rounded Corners 2">
          <a:hlinkClick xmlns:r="http://schemas.openxmlformats.org/officeDocument/2006/relationships" r:id="rId7" tooltip="1-Tranche"/>
          <a:extLst>
            <a:ext uri="{FF2B5EF4-FFF2-40B4-BE49-F238E27FC236}">
              <a16:creationId xmlns:a16="http://schemas.microsoft.com/office/drawing/2014/main" id="{FF4B9F72-CFC1-473A-B12C-C088296580F6}"/>
            </a:ext>
          </a:extLst>
        </xdr:cNvPr>
        <xdr:cNvSpPr/>
      </xdr:nvSpPr>
      <xdr:spPr>
        <a:xfrm>
          <a:off x="11239500" y="1828800"/>
          <a:ext cx="1409700" cy="209549"/>
        </a:xfrm>
        <a:prstGeom prst="roundRect">
          <a:avLst/>
        </a:prstGeom>
        <a:solidFill>
          <a:srgbClr val="DE2D2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&lt;&lt;Basic (1-Tranche)</a:t>
          </a:r>
        </a:p>
      </xdr:txBody>
    </xdr:sp>
    <xdr:clientData/>
  </xdr:twoCellAnchor>
  <xdr:twoCellAnchor>
    <xdr:from>
      <xdr:col>0</xdr:col>
      <xdr:colOff>0</xdr:colOff>
      <xdr:row>72</xdr:row>
      <xdr:rowOff>0</xdr:rowOff>
    </xdr:from>
    <xdr:to>
      <xdr:col>41</xdr:col>
      <xdr:colOff>247650</xdr:colOff>
      <xdr:row>79</xdr:row>
      <xdr:rowOff>161925</xdr:rowOff>
    </xdr:to>
    <xdr:sp macro="" textlink="">
      <xdr:nvSpPr>
        <xdr:cNvPr id="12" name="TextBox 11">
          <a:extLst>
            <a:ext uri="{FF2B5EF4-FFF2-40B4-BE49-F238E27FC236}">
              <a16:creationId xmlns:a16="http://schemas.microsoft.com/office/drawing/2014/main" id="{EEC91533-C9CE-41D2-9EB1-66662A0E30DE}"/>
            </a:ext>
          </a:extLst>
        </xdr:cNvPr>
        <xdr:cNvSpPr txBox="1"/>
      </xdr:nvSpPr>
      <xdr:spPr>
        <a:xfrm>
          <a:off x="0" y="14554200"/>
          <a:ext cx="8486775" cy="11144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i="1">
              <a:solidFill>
                <a:schemeClr val="tx1">
                  <a:lumMod val="50000"/>
                  <a:lumOff val="50000"/>
                </a:schemeClr>
              </a:solidFill>
            </a:rPr>
            <a:t>This trial</a:t>
          </a:r>
          <a:r>
            <a:rPr lang="en-US" sz="1000" i="1" baseline="0">
              <a:solidFill>
                <a:schemeClr val="tx1">
                  <a:lumMod val="50000"/>
                  <a:lumOff val="50000"/>
                </a:schemeClr>
              </a:solidFill>
            </a:rPr>
            <a:t> version is limited to 3 logs</a:t>
          </a:r>
          <a:endParaRPr lang="en-US" sz="1000" i="1">
            <a:solidFill>
              <a:schemeClr val="tx1">
                <a:lumMod val="50000"/>
                <a:lumOff val="50000"/>
              </a:schemeClr>
            </a:solidFill>
          </a:endParaRPr>
        </a:p>
        <a:p>
          <a:pPr algn="ctr"/>
          <a:r>
            <a:rPr lang="en-US" sz="4000">
              <a:solidFill>
                <a:schemeClr val="tx1">
                  <a:lumMod val="50000"/>
                  <a:lumOff val="50000"/>
                </a:schemeClr>
              </a:solidFill>
            </a:rPr>
            <a:t>Contact Us For Full Version Details</a:t>
          </a:r>
        </a:p>
        <a:p>
          <a:pPr algn="ctr"/>
          <a:r>
            <a:rPr lang="en-US" sz="1400" i="1">
              <a:solidFill>
                <a:schemeClr val="tx1">
                  <a:lumMod val="50000"/>
                  <a:lumOff val="50000"/>
                </a:schemeClr>
              </a:solidFill>
            </a:rPr>
            <a:t>aaespreadsheets@gmail.com</a:t>
          </a:r>
        </a:p>
      </xdr:txBody>
    </xdr:sp>
    <xdr:clientData/>
  </xdr:twoCellAnchor>
  <xdr:twoCellAnchor>
    <xdr:from>
      <xdr:col>3</xdr:col>
      <xdr:colOff>762000</xdr:colOff>
      <xdr:row>18</xdr:row>
      <xdr:rowOff>142875</xdr:rowOff>
    </xdr:from>
    <xdr:to>
      <xdr:col>45</xdr:col>
      <xdr:colOff>381000</xdr:colOff>
      <xdr:row>24</xdr:row>
      <xdr:rowOff>57150</xdr:rowOff>
    </xdr:to>
    <xdr:sp macro="" textlink="">
      <xdr:nvSpPr>
        <xdr:cNvPr id="13" name="TextBox 12">
          <a:extLst>
            <a:ext uri="{FF2B5EF4-FFF2-40B4-BE49-F238E27FC236}">
              <a16:creationId xmlns:a16="http://schemas.microsoft.com/office/drawing/2014/main" id="{AC1C8A27-1A64-4148-8CCF-1DC11BFC8485}"/>
            </a:ext>
          </a:extLst>
        </xdr:cNvPr>
        <xdr:cNvSpPr txBox="1"/>
      </xdr:nvSpPr>
      <xdr:spPr>
        <a:xfrm>
          <a:off x="2114550" y="3895725"/>
          <a:ext cx="8486775" cy="11144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i="1">
              <a:solidFill>
                <a:schemeClr val="tx1">
                  <a:lumMod val="50000"/>
                  <a:lumOff val="50000"/>
                </a:schemeClr>
              </a:solidFill>
            </a:rPr>
            <a:t>This trial</a:t>
          </a:r>
          <a:r>
            <a:rPr lang="en-US" sz="1000" i="1" baseline="0">
              <a:solidFill>
                <a:schemeClr val="tx1">
                  <a:lumMod val="50000"/>
                  <a:lumOff val="50000"/>
                </a:schemeClr>
              </a:solidFill>
            </a:rPr>
            <a:t> version is limited to 2 logs</a:t>
          </a:r>
          <a:endParaRPr lang="en-US" sz="1000" i="1">
            <a:solidFill>
              <a:schemeClr val="tx1">
                <a:lumMod val="50000"/>
                <a:lumOff val="50000"/>
              </a:schemeClr>
            </a:solidFill>
          </a:endParaRPr>
        </a:p>
        <a:p>
          <a:pPr algn="ctr"/>
          <a:r>
            <a:rPr lang="en-US" sz="4000">
              <a:solidFill>
                <a:schemeClr val="tx1">
                  <a:lumMod val="50000"/>
                  <a:lumOff val="50000"/>
                </a:schemeClr>
              </a:solidFill>
            </a:rPr>
            <a:t>Contact Us For Full Version Details</a:t>
          </a:r>
        </a:p>
        <a:p>
          <a:pPr algn="ctr"/>
          <a:r>
            <a:rPr lang="en-US" sz="1400" i="1">
              <a:solidFill>
                <a:schemeClr val="tx1">
                  <a:lumMod val="50000"/>
                  <a:lumOff val="50000"/>
                </a:schemeClr>
              </a:solidFill>
            </a:rPr>
            <a:t>aaespreadsheets@gmail.com</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1057275</xdr:colOff>
      <xdr:row>1</xdr:row>
      <xdr:rowOff>200025</xdr:rowOff>
    </xdr:from>
    <xdr:to>
      <xdr:col>14</xdr:col>
      <xdr:colOff>19050</xdr:colOff>
      <xdr:row>12</xdr:row>
      <xdr:rowOff>47625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857250</xdr:colOff>
      <xdr:row>11</xdr:row>
      <xdr:rowOff>19050</xdr:rowOff>
    </xdr:from>
    <xdr:to>
      <xdr:col>14</xdr:col>
      <xdr:colOff>53420</xdr:colOff>
      <xdr:row>12</xdr:row>
      <xdr:rowOff>85725</xdr:rowOff>
    </xdr:to>
    <xdr:pic macro="[0]!YChangeAxisScales">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53925" y="2447925"/>
          <a:ext cx="262970" cy="266700"/>
        </a:xfrm>
        <a:prstGeom prst="rect">
          <a:avLst/>
        </a:prstGeom>
      </xdr:spPr>
    </xdr:pic>
    <xdr:clientData/>
  </xdr:twoCellAnchor>
  <xdr:twoCellAnchor>
    <xdr:from>
      <xdr:col>13</xdr:col>
      <xdr:colOff>1024891</xdr:colOff>
      <xdr:row>0</xdr:row>
      <xdr:rowOff>32822</xdr:rowOff>
    </xdr:from>
    <xdr:to>
      <xdr:col>14</xdr:col>
      <xdr:colOff>140971</xdr:colOff>
      <xdr:row>0</xdr:row>
      <xdr:rowOff>169982</xdr:rowOff>
    </xdr:to>
    <xdr:sp macro="[0]!CloseProgram" textlink="">
      <xdr:nvSpPr>
        <xdr:cNvPr id="6" name="Rectangle 5">
          <a:extLst>
            <a:ext uri="{FF2B5EF4-FFF2-40B4-BE49-F238E27FC236}">
              <a16:creationId xmlns:a16="http://schemas.microsoft.com/office/drawing/2014/main" id="{30F038BA-9E8C-41B4-BBDF-965184A2858D}"/>
            </a:ext>
          </a:extLst>
        </xdr:cNvPr>
        <xdr:cNvSpPr/>
      </xdr:nvSpPr>
      <xdr:spPr>
        <a:xfrm>
          <a:off x="12521566" y="32822"/>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13</xdr:col>
      <xdr:colOff>581025</xdr:colOff>
      <xdr:row>0</xdr:row>
      <xdr:rowOff>38294</xdr:rowOff>
    </xdr:from>
    <xdr:to>
      <xdr:col>13</xdr:col>
      <xdr:colOff>753044</xdr:colOff>
      <xdr:row>0</xdr:row>
      <xdr:rowOff>175454</xdr:rowOff>
    </xdr:to>
    <xdr:pic macro="[0]!Minimize">
      <xdr:nvPicPr>
        <xdr:cNvPr id="7" name="Picture 6">
          <a:extLst>
            <a:ext uri="{FF2B5EF4-FFF2-40B4-BE49-F238E27FC236}">
              <a16:creationId xmlns:a16="http://schemas.microsoft.com/office/drawing/2014/main" id="{04AC6F7F-8EE6-4C9A-B712-BF29CE12557D}"/>
            </a:ext>
          </a:extLst>
        </xdr:cNvPr>
        <xdr:cNvPicPr>
          <a:picLocks noChangeAspect="1"/>
        </xdr:cNvPicPr>
      </xdr:nvPicPr>
      <xdr:blipFill>
        <a:blip xmlns:r="http://schemas.openxmlformats.org/officeDocument/2006/relationships" r:embed="rId3"/>
        <a:stretch>
          <a:fillRect/>
        </a:stretch>
      </xdr:blipFill>
      <xdr:spPr>
        <a:xfrm>
          <a:off x="12077700" y="38294"/>
          <a:ext cx="172019" cy="137160"/>
        </a:xfrm>
        <a:prstGeom prst="rect">
          <a:avLst/>
        </a:prstGeom>
      </xdr:spPr>
    </xdr:pic>
    <xdr:clientData/>
  </xdr:twoCellAnchor>
  <xdr:twoCellAnchor editAs="oneCell">
    <xdr:from>
      <xdr:col>13</xdr:col>
      <xdr:colOff>789162</xdr:colOff>
      <xdr:row>0</xdr:row>
      <xdr:rowOff>28575</xdr:rowOff>
    </xdr:from>
    <xdr:to>
      <xdr:col>13</xdr:col>
      <xdr:colOff>972042</xdr:colOff>
      <xdr:row>0</xdr:row>
      <xdr:rowOff>174621</xdr:rowOff>
    </xdr:to>
    <xdr:pic macro="[0]!Maximize">
      <xdr:nvPicPr>
        <xdr:cNvPr id="8" name="Picture 7">
          <a:extLst>
            <a:ext uri="{FF2B5EF4-FFF2-40B4-BE49-F238E27FC236}">
              <a16:creationId xmlns:a16="http://schemas.microsoft.com/office/drawing/2014/main" id="{145C742E-7E8E-483E-8FD6-218B7826BD71}"/>
            </a:ext>
          </a:extLst>
        </xdr:cNvPr>
        <xdr:cNvPicPr>
          <a:picLocks noChangeAspect="1"/>
        </xdr:cNvPicPr>
      </xdr:nvPicPr>
      <xdr:blipFill>
        <a:blip xmlns:r="http://schemas.openxmlformats.org/officeDocument/2006/relationships" r:embed="rId4"/>
        <a:stretch>
          <a:fillRect/>
        </a:stretch>
      </xdr:blipFill>
      <xdr:spPr>
        <a:xfrm>
          <a:off x="12285837" y="28575"/>
          <a:ext cx="182880" cy="146046"/>
        </a:xfrm>
        <a:prstGeom prst="rect">
          <a:avLst/>
        </a:prstGeom>
      </xdr:spPr>
    </xdr:pic>
    <xdr:clientData/>
  </xdr:twoCellAnchor>
  <xdr:twoCellAnchor editAs="oneCell">
    <xdr:from>
      <xdr:col>0</xdr:col>
      <xdr:colOff>0</xdr:colOff>
      <xdr:row>0</xdr:row>
      <xdr:rowOff>0</xdr:rowOff>
    </xdr:from>
    <xdr:to>
      <xdr:col>1</xdr:col>
      <xdr:colOff>1307592</xdr:colOff>
      <xdr:row>1</xdr:row>
      <xdr:rowOff>19431</xdr:rowOff>
    </xdr:to>
    <xdr:pic>
      <xdr:nvPicPr>
        <xdr:cNvPr id="12" name="Picture 11">
          <a:extLst>
            <a:ext uri="{FF2B5EF4-FFF2-40B4-BE49-F238E27FC236}">
              <a16:creationId xmlns:a16="http://schemas.microsoft.com/office/drawing/2014/main" id="{61EEA3AC-56F8-40C6-A1A1-B2E724E344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1536192" cy="21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1</xdr:row>
      <xdr:rowOff>57150</xdr:rowOff>
    </xdr:from>
    <xdr:to>
      <xdr:col>1</xdr:col>
      <xdr:colOff>131445</xdr:colOff>
      <xdr:row>2</xdr:row>
      <xdr:rowOff>93345</xdr:rowOff>
    </xdr:to>
    <xdr:pic>
      <xdr:nvPicPr>
        <xdr:cNvPr id="9" name="Picture 8">
          <a:hlinkClick xmlns:r="http://schemas.openxmlformats.org/officeDocument/2006/relationships" r:id="rId6" tooltip="Home"/>
          <a:extLst>
            <a:ext uri="{FF2B5EF4-FFF2-40B4-BE49-F238E27FC236}">
              <a16:creationId xmlns:a16="http://schemas.microsoft.com/office/drawing/2014/main" id="{84AAF107-91FB-439A-BBD2-273E0FC40344}"/>
            </a:ext>
          </a:extLst>
        </xdr:cNvPr>
        <xdr:cNvPicPr>
          <a:picLocks noChangeAspect="1"/>
        </xdr:cNvPicPr>
      </xdr:nvPicPr>
      <xdr:blipFill>
        <a:blip xmlns:r="http://schemas.openxmlformats.org/officeDocument/2006/relationships" r:embed="rId7">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85725" y="257175"/>
          <a:ext cx="274320" cy="274320"/>
        </a:xfrm>
        <a:prstGeom prst="rect">
          <a:avLst/>
        </a:prstGeom>
      </xdr:spPr>
    </xdr:pic>
    <xdr:clientData/>
  </xdr:twoCellAnchor>
  <xdr:twoCellAnchor>
    <xdr:from>
      <xdr:col>3</xdr:col>
      <xdr:colOff>19052</xdr:colOff>
      <xdr:row>4</xdr:row>
      <xdr:rowOff>180975</xdr:rowOff>
    </xdr:from>
    <xdr:to>
      <xdr:col>4</xdr:col>
      <xdr:colOff>381001</xdr:colOff>
      <xdr:row>11</xdr:row>
      <xdr:rowOff>95250</xdr:rowOff>
    </xdr:to>
    <xdr:sp macro="" textlink="">
      <xdr:nvSpPr>
        <xdr:cNvPr id="10" name="TextBox 9">
          <a:extLst>
            <a:ext uri="{FF2B5EF4-FFF2-40B4-BE49-F238E27FC236}">
              <a16:creationId xmlns:a16="http://schemas.microsoft.com/office/drawing/2014/main" id="{7FC0A07C-2825-4647-9FBF-483AD60615A6}"/>
            </a:ext>
          </a:extLst>
        </xdr:cNvPr>
        <xdr:cNvSpPr txBox="1"/>
      </xdr:nvSpPr>
      <xdr:spPr>
        <a:xfrm>
          <a:off x="2933702" y="1019175"/>
          <a:ext cx="1647824" cy="1504950"/>
        </a:xfrm>
        <a:prstGeom prst="rect">
          <a:avLst/>
        </a:prstGeom>
        <a:solidFill>
          <a:schemeClr val="tx1">
            <a:lumMod val="85000"/>
            <a:lumOff val="15000"/>
            <a:alpha val="53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i="1">
              <a:solidFill>
                <a:schemeClr val="bg1"/>
              </a:solidFill>
            </a:rPr>
            <a:t>Get</a:t>
          </a:r>
          <a:r>
            <a:rPr lang="en-US" sz="1200" i="1" baseline="0">
              <a:solidFill>
                <a:schemeClr val="bg1"/>
              </a:solidFill>
            </a:rPr>
            <a:t> the </a:t>
          </a:r>
        </a:p>
        <a:p>
          <a:pPr algn="r"/>
          <a:r>
            <a:rPr lang="en-US" sz="1200" i="1" baseline="0">
              <a:solidFill>
                <a:schemeClr val="bg1"/>
              </a:solidFill>
            </a:rPr>
            <a:t>full </a:t>
          </a:r>
        </a:p>
        <a:p>
          <a:pPr algn="r"/>
          <a:r>
            <a:rPr lang="en-US" sz="1200" i="1" baseline="0">
              <a:solidFill>
                <a:schemeClr val="bg1"/>
              </a:solidFill>
            </a:rPr>
            <a:t>version </a:t>
          </a:r>
        </a:p>
        <a:p>
          <a:pPr algn="r"/>
          <a:r>
            <a:rPr lang="en-US" sz="1200" i="1" baseline="0">
              <a:solidFill>
                <a:schemeClr val="bg1"/>
              </a:solidFill>
            </a:rPr>
            <a:t>to unlock </a:t>
          </a:r>
        </a:p>
        <a:p>
          <a:pPr algn="r"/>
          <a:r>
            <a:rPr lang="en-US" sz="1200" i="1" baseline="0">
              <a:solidFill>
                <a:schemeClr val="bg1"/>
              </a:solidFill>
            </a:rPr>
            <a:t>this </a:t>
          </a:r>
        </a:p>
        <a:p>
          <a:pPr algn="r"/>
          <a:r>
            <a:rPr lang="en-US" sz="1200" i="1" baseline="0">
              <a:solidFill>
                <a:schemeClr val="bg1"/>
              </a:solidFill>
            </a:rPr>
            <a:t>feature</a:t>
          </a:r>
          <a:endParaRPr lang="en-US" sz="1400" i="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xdr:row>
      <xdr:rowOff>47624</xdr:rowOff>
    </xdr:from>
    <xdr:to>
      <xdr:col>12</xdr:col>
      <xdr:colOff>1200150</xdr:colOff>
      <xdr:row>16</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1183767</xdr:colOff>
      <xdr:row>1</xdr:row>
      <xdr:rowOff>19431</xdr:rowOff>
    </xdr:to>
    <xdr:pic>
      <xdr:nvPicPr>
        <xdr:cNvPr id="8" name="Picture 7">
          <a:extLst>
            <a:ext uri="{FF2B5EF4-FFF2-40B4-BE49-F238E27FC236}">
              <a16:creationId xmlns:a16="http://schemas.microsoft.com/office/drawing/2014/main" id="{B7671FE0-E74F-4609-9493-1221462EA1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536192" cy="21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1053466</xdr:colOff>
      <xdr:row>0</xdr:row>
      <xdr:rowOff>32822</xdr:rowOff>
    </xdr:from>
    <xdr:to>
      <xdr:col>12</xdr:col>
      <xdr:colOff>1236346</xdr:colOff>
      <xdr:row>0</xdr:row>
      <xdr:rowOff>169982</xdr:rowOff>
    </xdr:to>
    <xdr:sp macro="[0]!CloseProgram" textlink="">
      <xdr:nvSpPr>
        <xdr:cNvPr id="9" name="Rectangle 8">
          <a:extLst>
            <a:ext uri="{FF2B5EF4-FFF2-40B4-BE49-F238E27FC236}">
              <a16:creationId xmlns:a16="http://schemas.microsoft.com/office/drawing/2014/main" id="{74D51738-4572-4C3F-9BD1-AD7788A38063}"/>
            </a:ext>
          </a:extLst>
        </xdr:cNvPr>
        <xdr:cNvSpPr/>
      </xdr:nvSpPr>
      <xdr:spPr>
        <a:xfrm>
          <a:off x="12407266" y="32822"/>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12</xdr:col>
      <xdr:colOff>609600</xdr:colOff>
      <xdr:row>0</xdr:row>
      <xdr:rowOff>38294</xdr:rowOff>
    </xdr:from>
    <xdr:to>
      <xdr:col>12</xdr:col>
      <xdr:colOff>781619</xdr:colOff>
      <xdr:row>0</xdr:row>
      <xdr:rowOff>175454</xdr:rowOff>
    </xdr:to>
    <xdr:pic macro="[0]!Minimize">
      <xdr:nvPicPr>
        <xdr:cNvPr id="10" name="Picture 9">
          <a:extLst>
            <a:ext uri="{FF2B5EF4-FFF2-40B4-BE49-F238E27FC236}">
              <a16:creationId xmlns:a16="http://schemas.microsoft.com/office/drawing/2014/main" id="{23A2E335-18DA-49DE-97B4-86571B15A54A}"/>
            </a:ext>
          </a:extLst>
        </xdr:cNvPr>
        <xdr:cNvPicPr>
          <a:picLocks noChangeAspect="1"/>
        </xdr:cNvPicPr>
      </xdr:nvPicPr>
      <xdr:blipFill>
        <a:blip xmlns:r="http://schemas.openxmlformats.org/officeDocument/2006/relationships" r:embed="rId3"/>
        <a:stretch>
          <a:fillRect/>
        </a:stretch>
      </xdr:blipFill>
      <xdr:spPr>
        <a:xfrm>
          <a:off x="12106275" y="38294"/>
          <a:ext cx="172019" cy="137160"/>
        </a:xfrm>
        <a:prstGeom prst="rect">
          <a:avLst/>
        </a:prstGeom>
      </xdr:spPr>
    </xdr:pic>
    <xdr:clientData/>
  </xdr:twoCellAnchor>
  <xdr:twoCellAnchor editAs="oneCell">
    <xdr:from>
      <xdr:col>12</xdr:col>
      <xdr:colOff>817737</xdr:colOff>
      <xdr:row>0</xdr:row>
      <xdr:rowOff>28575</xdr:rowOff>
    </xdr:from>
    <xdr:to>
      <xdr:col>12</xdr:col>
      <xdr:colOff>1000617</xdr:colOff>
      <xdr:row>0</xdr:row>
      <xdr:rowOff>174621</xdr:rowOff>
    </xdr:to>
    <xdr:pic macro="[0]!Maximize">
      <xdr:nvPicPr>
        <xdr:cNvPr id="11" name="Picture 10">
          <a:extLst>
            <a:ext uri="{FF2B5EF4-FFF2-40B4-BE49-F238E27FC236}">
              <a16:creationId xmlns:a16="http://schemas.microsoft.com/office/drawing/2014/main" id="{52D4E099-5A10-4F8C-B29A-2951DC71ABEA}"/>
            </a:ext>
          </a:extLst>
        </xdr:cNvPr>
        <xdr:cNvPicPr>
          <a:picLocks noChangeAspect="1"/>
        </xdr:cNvPicPr>
      </xdr:nvPicPr>
      <xdr:blipFill>
        <a:blip xmlns:r="http://schemas.openxmlformats.org/officeDocument/2006/relationships" r:embed="rId4"/>
        <a:stretch>
          <a:fillRect/>
        </a:stretch>
      </xdr:blipFill>
      <xdr:spPr>
        <a:xfrm>
          <a:off x="12314412" y="28575"/>
          <a:ext cx="182880" cy="146046"/>
        </a:xfrm>
        <a:prstGeom prst="rect">
          <a:avLst/>
        </a:prstGeom>
      </xdr:spPr>
    </xdr:pic>
    <xdr:clientData/>
  </xdr:twoCellAnchor>
  <xdr:twoCellAnchor editAs="oneCell">
    <xdr:from>
      <xdr:col>0</xdr:col>
      <xdr:colOff>85725</xdr:colOff>
      <xdr:row>1</xdr:row>
      <xdr:rowOff>76200</xdr:rowOff>
    </xdr:from>
    <xdr:to>
      <xdr:col>1</xdr:col>
      <xdr:colOff>7620</xdr:colOff>
      <xdr:row>3</xdr:row>
      <xdr:rowOff>74295</xdr:rowOff>
    </xdr:to>
    <xdr:pic>
      <xdr:nvPicPr>
        <xdr:cNvPr id="12" name="Picture 11">
          <a:hlinkClick xmlns:r="http://schemas.openxmlformats.org/officeDocument/2006/relationships" r:id="rId5" tooltip="Home"/>
          <a:extLst>
            <a:ext uri="{FF2B5EF4-FFF2-40B4-BE49-F238E27FC236}">
              <a16:creationId xmlns:a16="http://schemas.microsoft.com/office/drawing/2014/main" id="{E8303DF3-1547-4EBD-9057-2B36F90FAC3C}"/>
            </a:ext>
          </a:extLst>
        </xdr:cNvPr>
        <xdr:cNvPicPr>
          <a:picLocks noChangeAspect="1"/>
        </xdr:cNvPicPr>
      </xdr:nvPicPr>
      <xdr:blipFill>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85725" y="276225"/>
          <a:ext cx="274320" cy="274320"/>
        </a:xfrm>
        <a:prstGeom prst="rect">
          <a:avLst/>
        </a:prstGeom>
      </xdr:spPr>
    </xdr:pic>
    <xdr:clientData/>
  </xdr:twoCellAnchor>
  <xdr:twoCellAnchor>
    <xdr:from>
      <xdr:col>1</xdr:col>
      <xdr:colOff>1543050</xdr:colOff>
      <xdr:row>8</xdr:row>
      <xdr:rowOff>0</xdr:rowOff>
    </xdr:from>
    <xdr:to>
      <xdr:col>11</xdr:col>
      <xdr:colOff>323850</xdr:colOff>
      <xdr:row>12</xdr:row>
      <xdr:rowOff>190500</xdr:rowOff>
    </xdr:to>
    <xdr:sp macro="" textlink="">
      <xdr:nvSpPr>
        <xdr:cNvPr id="14" name="TextBox 13">
          <a:extLst>
            <a:ext uri="{FF2B5EF4-FFF2-40B4-BE49-F238E27FC236}">
              <a16:creationId xmlns:a16="http://schemas.microsoft.com/office/drawing/2014/main" id="{C931DB2C-40BF-475A-9460-59D6B97EA547}"/>
            </a:ext>
          </a:extLst>
        </xdr:cNvPr>
        <xdr:cNvSpPr txBox="1"/>
      </xdr:nvSpPr>
      <xdr:spPr>
        <a:xfrm>
          <a:off x="1895475" y="1638300"/>
          <a:ext cx="8486775" cy="1114425"/>
        </a:xfrm>
        <a:prstGeom prst="rect">
          <a:avLst/>
        </a:prstGeom>
        <a:solidFill>
          <a:srgbClr val="262626">
            <a:alpha val="2902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i="1" baseline="0">
              <a:solidFill>
                <a:schemeClr val="tx1">
                  <a:lumMod val="50000"/>
                  <a:lumOff val="50000"/>
                </a:schemeClr>
              </a:solidFill>
            </a:rPr>
            <a:t> </a:t>
          </a:r>
          <a:endParaRPr lang="en-US" sz="1000" i="1">
            <a:solidFill>
              <a:schemeClr val="tx1">
                <a:lumMod val="50000"/>
                <a:lumOff val="50000"/>
              </a:schemeClr>
            </a:solidFill>
          </a:endParaRPr>
        </a:p>
        <a:p>
          <a:pPr algn="ctr"/>
          <a:r>
            <a:rPr lang="en-US" sz="4000">
              <a:solidFill>
                <a:schemeClr val="tx1">
                  <a:lumMod val="50000"/>
                  <a:lumOff val="50000"/>
                </a:schemeClr>
              </a:solidFill>
            </a:rPr>
            <a:t>Contact Us For Full Version Details</a:t>
          </a:r>
        </a:p>
        <a:p>
          <a:pPr algn="ctr"/>
          <a:r>
            <a:rPr lang="en-US" sz="1400" i="1">
              <a:solidFill>
                <a:schemeClr val="tx1">
                  <a:lumMod val="50000"/>
                  <a:lumOff val="50000"/>
                </a:schemeClr>
              </a:solidFill>
            </a:rPr>
            <a:t>aaespreadsheets@gmail.com</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307467</xdr:colOff>
      <xdr:row>1</xdr:row>
      <xdr:rowOff>19431</xdr:rowOff>
    </xdr:to>
    <xdr:pic>
      <xdr:nvPicPr>
        <xdr:cNvPr id="6" name="Picture 5">
          <a:extLst>
            <a:ext uri="{FF2B5EF4-FFF2-40B4-BE49-F238E27FC236}">
              <a16:creationId xmlns:a16="http://schemas.microsoft.com/office/drawing/2014/main" id="{81D6EA22-D768-44E7-9343-DB594FB50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36192" cy="21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228600</xdr:colOff>
      <xdr:row>2</xdr:row>
      <xdr:rowOff>9525</xdr:rowOff>
    </xdr:from>
    <xdr:to>
      <xdr:col>24</xdr:col>
      <xdr:colOff>491570</xdr:colOff>
      <xdr:row>3</xdr:row>
      <xdr:rowOff>104775</xdr:rowOff>
    </xdr:to>
    <xdr:pic macro="[0]!RefreshTP">
      <xdr:nvPicPr>
        <xdr:cNvPr id="7" name="Picture 6">
          <a:extLst>
            <a:ext uri="{FF2B5EF4-FFF2-40B4-BE49-F238E27FC236}">
              <a16:creationId xmlns:a16="http://schemas.microsoft.com/office/drawing/2014/main" id="{C25ED0FA-AD4D-4AF9-A082-D99A203D97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53925" y="257175"/>
          <a:ext cx="262970" cy="266700"/>
        </a:xfrm>
        <a:prstGeom prst="rect">
          <a:avLst/>
        </a:prstGeom>
      </xdr:spPr>
    </xdr:pic>
    <xdr:clientData/>
  </xdr:twoCellAnchor>
  <xdr:twoCellAnchor>
    <xdr:from>
      <xdr:col>24</xdr:col>
      <xdr:colOff>329566</xdr:colOff>
      <xdr:row>0</xdr:row>
      <xdr:rowOff>32822</xdr:rowOff>
    </xdr:from>
    <xdr:to>
      <xdr:col>24</xdr:col>
      <xdr:colOff>512446</xdr:colOff>
      <xdr:row>0</xdr:row>
      <xdr:rowOff>169982</xdr:rowOff>
    </xdr:to>
    <xdr:sp macro="[0]!CloseProgram" textlink="">
      <xdr:nvSpPr>
        <xdr:cNvPr id="8" name="Rectangle 7">
          <a:extLst>
            <a:ext uri="{FF2B5EF4-FFF2-40B4-BE49-F238E27FC236}">
              <a16:creationId xmlns:a16="http://schemas.microsoft.com/office/drawing/2014/main" id="{76F7973B-4D9B-4CF1-9CA7-CF190E8DF47C}"/>
            </a:ext>
          </a:extLst>
        </xdr:cNvPr>
        <xdr:cNvSpPr/>
      </xdr:nvSpPr>
      <xdr:spPr>
        <a:xfrm>
          <a:off x="12464416" y="32822"/>
          <a:ext cx="182880" cy="137160"/>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X</a:t>
          </a:r>
        </a:p>
      </xdr:txBody>
    </xdr:sp>
    <xdr:clientData/>
  </xdr:twoCellAnchor>
  <xdr:twoCellAnchor editAs="oneCell">
    <xdr:from>
      <xdr:col>23</xdr:col>
      <xdr:colOff>847725</xdr:colOff>
      <xdr:row>0</xdr:row>
      <xdr:rowOff>38294</xdr:rowOff>
    </xdr:from>
    <xdr:to>
      <xdr:col>24</xdr:col>
      <xdr:colOff>57719</xdr:colOff>
      <xdr:row>0</xdr:row>
      <xdr:rowOff>175454</xdr:rowOff>
    </xdr:to>
    <xdr:pic macro="[0]!Minimize">
      <xdr:nvPicPr>
        <xdr:cNvPr id="9" name="Picture 8">
          <a:extLst>
            <a:ext uri="{FF2B5EF4-FFF2-40B4-BE49-F238E27FC236}">
              <a16:creationId xmlns:a16="http://schemas.microsoft.com/office/drawing/2014/main" id="{08CF70C2-4191-4A7F-AB0C-2B875E702CE9}"/>
            </a:ext>
          </a:extLst>
        </xdr:cNvPr>
        <xdr:cNvPicPr>
          <a:picLocks noChangeAspect="1"/>
        </xdr:cNvPicPr>
      </xdr:nvPicPr>
      <xdr:blipFill>
        <a:blip xmlns:r="http://schemas.openxmlformats.org/officeDocument/2006/relationships" r:embed="rId3"/>
        <a:stretch>
          <a:fillRect/>
        </a:stretch>
      </xdr:blipFill>
      <xdr:spPr>
        <a:xfrm>
          <a:off x="12020550" y="38294"/>
          <a:ext cx="172019" cy="137160"/>
        </a:xfrm>
        <a:prstGeom prst="rect">
          <a:avLst/>
        </a:prstGeom>
      </xdr:spPr>
    </xdr:pic>
    <xdr:clientData/>
  </xdr:twoCellAnchor>
  <xdr:twoCellAnchor editAs="oneCell">
    <xdr:from>
      <xdr:col>24</xdr:col>
      <xdr:colOff>93837</xdr:colOff>
      <xdr:row>0</xdr:row>
      <xdr:rowOff>28575</xdr:rowOff>
    </xdr:from>
    <xdr:to>
      <xdr:col>24</xdr:col>
      <xdr:colOff>276717</xdr:colOff>
      <xdr:row>0</xdr:row>
      <xdr:rowOff>174621</xdr:rowOff>
    </xdr:to>
    <xdr:pic macro="[0]!Maximize">
      <xdr:nvPicPr>
        <xdr:cNvPr id="10" name="Picture 9">
          <a:extLst>
            <a:ext uri="{FF2B5EF4-FFF2-40B4-BE49-F238E27FC236}">
              <a16:creationId xmlns:a16="http://schemas.microsoft.com/office/drawing/2014/main" id="{D5ACBEBD-46F9-452A-BB26-759473F75ACA}"/>
            </a:ext>
          </a:extLst>
        </xdr:cNvPr>
        <xdr:cNvPicPr>
          <a:picLocks noChangeAspect="1"/>
        </xdr:cNvPicPr>
      </xdr:nvPicPr>
      <xdr:blipFill>
        <a:blip xmlns:r="http://schemas.openxmlformats.org/officeDocument/2006/relationships" r:embed="rId4"/>
        <a:stretch>
          <a:fillRect/>
        </a:stretch>
      </xdr:blipFill>
      <xdr:spPr>
        <a:xfrm>
          <a:off x="12228687" y="28575"/>
          <a:ext cx="182880" cy="146046"/>
        </a:xfrm>
        <a:prstGeom prst="rect">
          <a:avLst/>
        </a:prstGeom>
      </xdr:spPr>
    </xdr:pic>
    <xdr:clientData/>
  </xdr:twoCellAnchor>
  <xdr:twoCellAnchor editAs="oneCell">
    <xdr:from>
      <xdr:col>2</xdr:col>
      <xdr:colOff>76200</xdr:colOff>
      <xdr:row>2</xdr:row>
      <xdr:rowOff>9525</xdr:rowOff>
    </xdr:from>
    <xdr:to>
      <xdr:col>3</xdr:col>
      <xdr:colOff>112395</xdr:colOff>
      <xdr:row>3</xdr:row>
      <xdr:rowOff>112395</xdr:rowOff>
    </xdr:to>
    <xdr:pic>
      <xdr:nvPicPr>
        <xdr:cNvPr id="11" name="Picture 10">
          <a:hlinkClick xmlns:r="http://schemas.openxmlformats.org/officeDocument/2006/relationships" r:id="rId5" tooltip="Home"/>
          <a:extLst>
            <a:ext uri="{FF2B5EF4-FFF2-40B4-BE49-F238E27FC236}">
              <a16:creationId xmlns:a16="http://schemas.microsoft.com/office/drawing/2014/main" id="{C076F18C-FA20-4266-97D0-2E8CCA986299}"/>
            </a:ext>
          </a:extLst>
        </xdr:cNvPr>
        <xdr:cNvPicPr>
          <a:picLocks noChangeAspect="1"/>
        </xdr:cNvPicPr>
      </xdr:nvPicPr>
      <xdr:blipFill>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04775" y="257175"/>
          <a:ext cx="274320" cy="274320"/>
        </a:xfrm>
        <a:prstGeom prst="rect">
          <a:avLst/>
        </a:prstGeom>
      </xdr:spPr>
    </xdr:pic>
    <xdr:clientData/>
  </xdr:twoCellAnchor>
  <xdr:twoCellAnchor>
    <xdr:from>
      <xdr:col>5</xdr:col>
      <xdr:colOff>838200</xdr:colOff>
      <xdr:row>16</xdr:row>
      <xdr:rowOff>76200</xdr:rowOff>
    </xdr:from>
    <xdr:to>
      <xdr:col>20</xdr:col>
      <xdr:colOff>933450</xdr:colOff>
      <xdr:row>19</xdr:row>
      <xdr:rowOff>219075</xdr:rowOff>
    </xdr:to>
    <xdr:sp macro="" textlink="">
      <xdr:nvSpPr>
        <xdr:cNvPr id="12" name="TextBox 11">
          <a:extLst>
            <a:ext uri="{FF2B5EF4-FFF2-40B4-BE49-F238E27FC236}">
              <a16:creationId xmlns:a16="http://schemas.microsoft.com/office/drawing/2014/main" id="{5EEF1325-0212-4715-A66E-E7D3584EA7D6}"/>
            </a:ext>
          </a:extLst>
        </xdr:cNvPr>
        <xdr:cNvSpPr txBox="1"/>
      </xdr:nvSpPr>
      <xdr:spPr>
        <a:xfrm>
          <a:off x="2066925" y="3124200"/>
          <a:ext cx="8486775" cy="11144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i="1">
              <a:solidFill>
                <a:schemeClr val="tx1">
                  <a:lumMod val="50000"/>
                  <a:lumOff val="50000"/>
                </a:schemeClr>
              </a:solidFill>
            </a:rPr>
            <a:t>This trial</a:t>
          </a:r>
          <a:r>
            <a:rPr lang="en-US" sz="1000" i="1" baseline="0">
              <a:solidFill>
                <a:schemeClr val="tx1">
                  <a:lumMod val="50000"/>
                  <a:lumOff val="50000"/>
                </a:schemeClr>
              </a:solidFill>
            </a:rPr>
            <a:t> version is limited to 2 logs</a:t>
          </a:r>
          <a:endParaRPr lang="en-US" sz="1000" i="1">
            <a:solidFill>
              <a:schemeClr val="tx1">
                <a:lumMod val="50000"/>
                <a:lumOff val="50000"/>
              </a:schemeClr>
            </a:solidFill>
          </a:endParaRPr>
        </a:p>
        <a:p>
          <a:pPr algn="ctr"/>
          <a:r>
            <a:rPr lang="en-US" sz="4000">
              <a:solidFill>
                <a:schemeClr val="tx1">
                  <a:lumMod val="50000"/>
                  <a:lumOff val="50000"/>
                </a:schemeClr>
              </a:solidFill>
            </a:rPr>
            <a:t>Contact Us For Full Version Details</a:t>
          </a:r>
        </a:p>
        <a:p>
          <a:pPr algn="ctr"/>
          <a:r>
            <a:rPr lang="en-US" sz="1400" i="1">
              <a:solidFill>
                <a:schemeClr val="tx1">
                  <a:lumMod val="50000"/>
                  <a:lumOff val="50000"/>
                </a:schemeClr>
              </a:solidFill>
            </a:rPr>
            <a:t>aaespreadsheets@gmail.com</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485775</xdr:colOff>
      <xdr:row>51</xdr:row>
      <xdr:rowOff>114300</xdr:rowOff>
    </xdr:from>
    <xdr:to>
      <xdr:col>19</xdr:col>
      <xdr:colOff>720112</xdr:colOff>
      <xdr:row>60</xdr:row>
      <xdr:rowOff>20134</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stretch>
          <a:fillRect/>
        </a:stretch>
      </xdr:blipFill>
      <xdr:spPr>
        <a:xfrm>
          <a:off x="4714875" y="8448675"/>
          <a:ext cx="7844812" cy="1620334"/>
        </a:xfrm>
        <a:prstGeom prst="rect">
          <a:avLst/>
        </a:prstGeom>
      </xdr:spPr>
    </xdr:pic>
    <xdr:clientData/>
  </xdr:twoCellAnchor>
  <xdr:twoCellAnchor>
    <xdr:from>
      <xdr:col>5</xdr:col>
      <xdr:colOff>180974</xdr:colOff>
      <xdr:row>8</xdr:row>
      <xdr:rowOff>85724</xdr:rowOff>
    </xdr:from>
    <xdr:to>
      <xdr:col>7</xdr:col>
      <xdr:colOff>561975</xdr:colOff>
      <xdr:row>9</xdr:row>
      <xdr:rowOff>274319</xdr:rowOff>
    </xdr:to>
    <xdr:sp macro="[0]!advance" textlink="">
      <xdr:nvSpPr>
        <xdr:cNvPr id="2" name="Rectangle 1">
          <a:extLst>
            <a:ext uri="{FF2B5EF4-FFF2-40B4-BE49-F238E27FC236}">
              <a16:creationId xmlns:a16="http://schemas.microsoft.com/office/drawing/2014/main" id="{00000000-0008-0000-0600-000002000000}"/>
            </a:ext>
          </a:extLst>
        </xdr:cNvPr>
        <xdr:cNvSpPr/>
      </xdr:nvSpPr>
      <xdr:spPr>
        <a:xfrm>
          <a:off x="2666999" y="1695449"/>
          <a:ext cx="1543051"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3 Position Sizing</a:t>
          </a:r>
        </a:p>
      </xdr:txBody>
    </xdr:sp>
    <xdr:clientData/>
  </xdr:twoCellAnchor>
  <xdr:twoCellAnchor>
    <xdr:from>
      <xdr:col>7</xdr:col>
      <xdr:colOff>561974</xdr:colOff>
      <xdr:row>8</xdr:row>
      <xdr:rowOff>85724</xdr:rowOff>
    </xdr:from>
    <xdr:to>
      <xdr:col>10</xdr:col>
      <xdr:colOff>581024</xdr:colOff>
      <xdr:row>9</xdr:row>
      <xdr:rowOff>274319</xdr:rowOff>
    </xdr:to>
    <xdr:sp macro="[0]!features" textlink="">
      <xdr:nvSpPr>
        <xdr:cNvPr id="14" name="Rectangle 13">
          <a:extLst>
            <a:ext uri="{FF2B5EF4-FFF2-40B4-BE49-F238E27FC236}">
              <a16:creationId xmlns:a16="http://schemas.microsoft.com/office/drawing/2014/main" id="{00000000-0008-0000-0600-00000E000000}"/>
            </a:ext>
          </a:extLst>
        </xdr:cNvPr>
        <xdr:cNvSpPr/>
      </xdr:nvSpPr>
      <xdr:spPr>
        <a:xfrm>
          <a:off x="4210049" y="1695449"/>
          <a:ext cx="1762125"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Features and Analysis</a:t>
          </a:r>
        </a:p>
      </xdr:txBody>
    </xdr:sp>
    <xdr:clientData/>
  </xdr:twoCellAnchor>
  <xdr:twoCellAnchor>
    <xdr:from>
      <xdr:col>11</xdr:col>
      <xdr:colOff>2955</xdr:colOff>
      <xdr:row>9</xdr:row>
      <xdr:rowOff>328</xdr:rowOff>
    </xdr:from>
    <xdr:to>
      <xdr:col>13</xdr:col>
      <xdr:colOff>342900</xdr:colOff>
      <xdr:row>9</xdr:row>
      <xdr:rowOff>274319</xdr:rowOff>
    </xdr:to>
    <xdr:sp macro="[0]!expectancy" textlink="">
      <xdr:nvSpPr>
        <xdr:cNvPr id="15" name="Rectangle 14">
          <a:extLst>
            <a:ext uri="{FF2B5EF4-FFF2-40B4-BE49-F238E27FC236}">
              <a16:creationId xmlns:a16="http://schemas.microsoft.com/office/drawing/2014/main" id="{00000000-0008-0000-0600-00000F000000}"/>
            </a:ext>
          </a:extLst>
        </xdr:cNvPr>
        <xdr:cNvSpPr/>
      </xdr:nvSpPr>
      <xdr:spPr>
        <a:xfrm>
          <a:off x="5975130" y="1695778"/>
          <a:ext cx="1501995" cy="273991"/>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Expectancy Guide</a:t>
          </a:r>
        </a:p>
      </xdr:txBody>
    </xdr:sp>
    <xdr:clientData/>
  </xdr:twoCellAnchor>
  <xdr:twoCellAnchor>
    <xdr:from>
      <xdr:col>2</xdr:col>
      <xdr:colOff>552449</xdr:colOff>
      <xdr:row>8</xdr:row>
      <xdr:rowOff>85724</xdr:rowOff>
    </xdr:from>
    <xdr:to>
      <xdr:col>5</xdr:col>
      <xdr:colOff>180975</xdr:colOff>
      <xdr:row>9</xdr:row>
      <xdr:rowOff>274319</xdr:rowOff>
    </xdr:to>
    <xdr:sp macro="[0]!basic" textlink="">
      <xdr:nvSpPr>
        <xdr:cNvPr id="16" name="Rectangle 15">
          <a:extLst>
            <a:ext uri="{FF2B5EF4-FFF2-40B4-BE49-F238E27FC236}">
              <a16:creationId xmlns:a16="http://schemas.microsoft.com/office/drawing/2014/main" id="{00000000-0008-0000-0600-000010000000}"/>
            </a:ext>
          </a:extLst>
        </xdr:cNvPr>
        <xdr:cNvSpPr/>
      </xdr:nvSpPr>
      <xdr:spPr>
        <a:xfrm>
          <a:off x="1295399" y="1695449"/>
          <a:ext cx="1371601"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1 Position Sizing</a:t>
          </a:r>
        </a:p>
      </xdr:txBody>
    </xdr:sp>
    <xdr:clientData/>
  </xdr:twoCellAnchor>
  <xdr:twoCellAnchor>
    <xdr:from>
      <xdr:col>13</xdr:col>
      <xdr:colOff>342900</xdr:colOff>
      <xdr:row>8</xdr:row>
      <xdr:rowOff>82973</xdr:rowOff>
    </xdr:from>
    <xdr:to>
      <xdr:col>14</xdr:col>
      <xdr:colOff>398367</xdr:colOff>
      <xdr:row>9</xdr:row>
      <xdr:rowOff>271568</xdr:rowOff>
    </xdr:to>
    <xdr:sp macro="[0]!rbaf" textlink="">
      <xdr:nvSpPr>
        <xdr:cNvPr id="17" name="Rectangle 16">
          <a:extLst>
            <a:ext uri="{FF2B5EF4-FFF2-40B4-BE49-F238E27FC236}">
              <a16:creationId xmlns:a16="http://schemas.microsoft.com/office/drawing/2014/main" id="{00000000-0008-0000-0600-000011000000}"/>
            </a:ext>
          </a:extLst>
        </xdr:cNvPr>
        <xdr:cNvSpPr/>
      </xdr:nvSpPr>
      <xdr:spPr>
        <a:xfrm>
          <a:off x="7477125" y="1692698"/>
          <a:ext cx="636492"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RBAF</a:t>
          </a:r>
        </a:p>
      </xdr:txBody>
    </xdr:sp>
    <xdr:clientData/>
  </xdr:twoCellAnchor>
  <xdr:twoCellAnchor>
    <xdr:from>
      <xdr:col>17</xdr:col>
      <xdr:colOff>235252</xdr:colOff>
      <xdr:row>9</xdr:row>
      <xdr:rowOff>4393</xdr:rowOff>
    </xdr:from>
    <xdr:to>
      <xdr:col>18</xdr:col>
      <xdr:colOff>416227</xdr:colOff>
      <xdr:row>10</xdr:row>
      <xdr:rowOff>0</xdr:rowOff>
    </xdr:to>
    <xdr:sp macro="[0]!settings" textlink="">
      <xdr:nvSpPr>
        <xdr:cNvPr id="18" name="Rectangle 17">
          <a:extLst>
            <a:ext uri="{FF2B5EF4-FFF2-40B4-BE49-F238E27FC236}">
              <a16:creationId xmlns:a16="http://schemas.microsoft.com/office/drawing/2014/main" id="{00000000-0008-0000-0600-000012000000}"/>
            </a:ext>
          </a:extLst>
        </xdr:cNvPr>
        <xdr:cNvSpPr/>
      </xdr:nvSpPr>
      <xdr:spPr>
        <a:xfrm>
          <a:off x="10512727" y="1699843"/>
          <a:ext cx="914400" cy="271832"/>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Settings</a:t>
          </a:r>
        </a:p>
      </xdr:txBody>
    </xdr:sp>
    <xdr:clientData/>
  </xdr:twoCellAnchor>
  <xdr:twoCellAnchor>
    <xdr:from>
      <xdr:col>15</xdr:col>
      <xdr:colOff>561974</xdr:colOff>
      <xdr:row>8</xdr:row>
      <xdr:rowOff>82973</xdr:rowOff>
    </xdr:from>
    <xdr:to>
      <xdr:col>17</xdr:col>
      <xdr:colOff>237631</xdr:colOff>
      <xdr:row>9</xdr:row>
      <xdr:rowOff>271568</xdr:rowOff>
    </xdr:to>
    <xdr:sp macro="[0]!more" textlink="">
      <xdr:nvSpPr>
        <xdr:cNvPr id="19" name="Rectangle 18">
          <a:extLst>
            <a:ext uri="{FF2B5EF4-FFF2-40B4-BE49-F238E27FC236}">
              <a16:creationId xmlns:a16="http://schemas.microsoft.com/office/drawing/2014/main" id="{00000000-0008-0000-0600-000013000000}"/>
            </a:ext>
          </a:extLst>
        </xdr:cNvPr>
        <xdr:cNvSpPr/>
      </xdr:nvSpPr>
      <xdr:spPr>
        <a:xfrm>
          <a:off x="9163049" y="1692698"/>
          <a:ext cx="1352057"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More Spreadsheets</a:t>
          </a:r>
        </a:p>
      </xdr:txBody>
    </xdr:sp>
    <xdr:clientData/>
  </xdr:twoCellAnchor>
  <xdr:twoCellAnchor>
    <xdr:from>
      <xdr:col>18</xdr:col>
      <xdr:colOff>413846</xdr:colOff>
      <xdr:row>8</xdr:row>
      <xdr:rowOff>81783</xdr:rowOff>
    </xdr:from>
    <xdr:to>
      <xdr:col>19</xdr:col>
      <xdr:colOff>499571</xdr:colOff>
      <xdr:row>9</xdr:row>
      <xdr:rowOff>272759</xdr:rowOff>
    </xdr:to>
    <xdr:sp macro="[0]!contact" textlink="">
      <xdr:nvSpPr>
        <xdr:cNvPr id="20" name="Rectangle 19">
          <a:extLst>
            <a:ext uri="{FF2B5EF4-FFF2-40B4-BE49-F238E27FC236}">
              <a16:creationId xmlns:a16="http://schemas.microsoft.com/office/drawing/2014/main" id="{00000000-0008-0000-0600-000014000000}"/>
            </a:ext>
          </a:extLst>
        </xdr:cNvPr>
        <xdr:cNvSpPr/>
      </xdr:nvSpPr>
      <xdr:spPr>
        <a:xfrm>
          <a:off x="11424746" y="1691508"/>
          <a:ext cx="914400" cy="276701"/>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Contact Us</a:t>
          </a:r>
        </a:p>
      </xdr:txBody>
    </xdr:sp>
    <xdr:clientData/>
  </xdr:twoCellAnchor>
  <xdr:twoCellAnchor editAs="oneCell">
    <xdr:from>
      <xdr:col>2</xdr:col>
      <xdr:colOff>57150</xdr:colOff>
      <xdr:row>2</xdr:row>
      <xdr:rowOff>38100</xdr:rowOff>
    </xdr:from>
    <xdr:to>
      <xdr:col>2</xdr:col>
      <xdr:colOff>438150</xdr:colOff>
      <xdr:row>3</xdr:row>
      <xdr:rowOff>200025</xdr:rowOff>
    </xdr:to>
    <xdr:pic>
      <xdr:nvPicPr>
        <xdr:cNvPr id="21" name="Picture 20">
          <a:extLst>
            <a:ext uri="{FF2B5EF4-FFF2-40B4-BE49-F238E27FC236}">
              <a16:creationId xmlns:a16="http://schemas.microsoft.com/office/drawing/2014/main" id="{DBA390BF-9A58-404D-A4CB-D01C0CBEC2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100" y="333375"/>
          <a:ext cx="381000" cy="381000"/>
        </a:xfrm>
        <a:prstGeom prst="rect">
          <a:avLst/>
        </a:prstGeom>
      </xdr:spPr>
    </xdr:pic>
    <xdr:clientData/>
  </xdr:twoCellAnchor>
  <xdr:twoCellAnchor editAs="oneCell">
    <xdr:from>
      <xdr:col>0</xdr:col>
      <xdr:colOff>104775</xdr:colOff>
      <xdr:row>1</xdr:row>
      <xdr:rowOff>28575</xdr:rowOff>
    </xdr:from>
    <xdr:to>
      <xdr:col>1</xdr:col>
      <xdr:colOff>217170</xdr:colOff>
      <xdr:row>2</xdr:row>
      <xdr:rowOff>55245</xdr:rowOff>
    </xdr:to>
    <xdr:pic>
      <xdr:nvPicPr>
        <xdr:cNvPr id="22" name="Picture 21">
          <a:hlinkClick xmlns:r="http://schemas.openxmlformats.org/officeDocument/2006/relationships" r:id="rId3" tooltip="Home"/>
          <a:extLst>
            <a:ext uri="{FF2B5EF4-FFF2-40B4-BE49-F238E27FC236}">
              <a16:creationId xmlns:a16="http://schemas.microsoft.com/office/drawing/2014/main" id="{E9B6E15C-96DB-44AC-8319-8A6DCCD83897}"/>
            </a:ext>
          </a:extLst>
        </xdr:cNvPr>
        <xdr:cNvPicPr>
          <a:picLocks noChangeAspect="1"/>
        </xdr:cNvPicPr>
      </xdr:nvPicPr>
      <xdr:blipFill>
        <a:blip xmlns:r="http://schemas.openxmlformats.org/officeDocument/2006/relationships" r:embed="rId4">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04775" y="76200"/>
          <a:ext cx="274320" cy="274320"/>
        </a:xfrm>
        <a:prstGeom prst="rect">
          <a:avLst/>
        </a:prstGeom>
      </xdr:spPr>
    </xdr:pic>
    <xdr:clientData/>
  </xdr:twoCellAnchor>
  <xdr:twoCellAnchor>
    <xdr:from>
      <xdr:col>1</xdr:col>
      <xdr:colOff>219074</xdr:colOff>
      <xdr:row>9</xdr:row>
      <xdr:rowOff>0</xdr:rowOff>
    </xdr:from>
    <xdr:to>
      <xdr:col>2</xdr:col>
      <xdr:colOff>552450</xdr:colOff>
      <xdr:row>9</xdr:row>
      <xdr:rowOff>274320</xdr:rowOff>
    </xdr:to>
    <xdr:sp macro="[0]!dash" textlink="">
      <xdr:nvSpPr>
        <xdr:cNvPr id="23" name="Rectangle 22">
          <a:extLst>
            <a:ext uri="{FF2B5EF4-FFF2-40B4-BE49-F238E27FC236}">
              <a16:creationId xmlns:a16="http://schemas.microsoft.com/office/drawing/2014/main" id="{654CB085-4B7E-42F6-BA52-55892CC75C5D}"/>
            </a:ext>
          </a:extLst>
        </xdr:cNvPr>
        <xdr:cNvSpPr/>
      </xdr:nvSpPr>
      <xdr:spPr>
        <a:xfrm>
          <a:off x="380999" y="1695450"/>
          <a:ext cx="914401"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Dashboard</a:t>
          </a:r>
        </a:p>
      </xdr:txBody>
    </xdr:sp>
    <xdr:clientData/>
  </xdr:twoCellAnchor>
  <xdr:twoCellAnchor editAs="oneCell">
    <xdr:from>
      <xdr:col>10</xdr:col>
      <xdr:colOff>219074</xdr:colOff>
      <xdr:row>22</xdr:row>
      <xdr:rowOff>101011</xdr:rowOff>
    </xdr:from>
    <xdr:to>
      <xdr:col>19</xdr:col>
      <xdr:colOff>101024</xdr:colOff>
      <xdr:row>31</xdr:row>
      <xdr:rowOff>116294</xdr:rowOff>
    </xdr:to>
    <xdr:pic>
      <xdr:nvPicPr>
        <xdr:cNvPr id="4" name="Picture 3">
          <a:extLst>
            <a:ext uri="{FF2B5EF4-FFF2-40B4-BE49-F238E27FC236}">
              <a16:creationId xmlns:a16="http://schemas.microsoft.com/office/drawing/2014/main" id="{5B6F8705-E42B-43DE-8B79-EA9F4E756C4F}"/>
            </a:ext>
          </a:extLst>
        </xdr:cNvPr>
        <xdr:cNvPicPr>
          <a:picLocks noChangeAspect="1"/>
        </xdr:cNvPicPr>
      </xdr:nvPicPr>
      <xdr:blipFill>
        <a:blip xmlns:r="http://schemas.openxmlformats.org/officeDocument/2006/relationships" r:embed="rId5"/>
        <a:stretch>
          <a:fillRect/>
        </a:stretch>
      </xdr:blipFill>
      <xdr:spPr>
        <a:xfrm>
          <a:off x="5610224" y="2072686"/>
          <a:ext cx="6330375" cy="2186983"/>
        </a:xfrm>
        <a:prstGeom prst="rect">
          <a:avLst/>
        </a:prstGeom>
      </xdr:spPr>
    </xdr:pic>
    <xdr:clientData/>
  </xdr:twoCellAnchor>
  <xdr:twoCellAnchor editAs="oneCell">
    <xdr:from>
      <xdr:col>9</xdr:col>
      <xdr:colOff>85726</xdr:colOff>
      <xdr:row>73</xdr:row>
      <xdr:rowOff>163673</xdr:rowOff>
    </xdr:from>
    <xdr:to>
      <xdr:col>19</xdr:col>
      <xdr:colOff>57150</xdr:colOff>
      <xdr:row>84</xdr:row>
      <xdr:rowOff>142876</xdr:rowOff>
    </xdr:to>
    <xdr:pic>
      <xdr:nvPicPr>
        <xdr:cNvPr id="9" name="Picture 8">
          <a:extLst>
            <a:ext uri="{FF2B5EF4-FFF2-40B4-BE49-F238E27FC236}">
              <a16:creationId xmlns:a16="http://schemas.microsoft.com/office/drawing/2014/main" id="{F7F0CACD-06FA-46E3-ACA6-2F0799BE51B7}"/>
            </a:ext>
          </a:extLst>
        </xdr:cNvPr>
        <xdr:cNvPicPr>
          <a:picLocks noChangeAspect="1"/>
        </xdr:cNvPicPr>
      </xdr:nvPicPr>
      <xdr:blipFill rotWithShape="1">
        <a:blip xmlns:r="http://schemas.openxmlformats.org/officeDocument/2006/relationships" r:embed="rId6"/>
        <a:srcRect b="15345"/>
        <a:stretch/>
      </xdr:blipFill>
      <xdr:spPr>
        <a:xfrm>
          <a:off x="4895851" y="12631898"/>
          <a:ext cx="7000874" cy="2274728"/>
        </a:xfrm>
        <a:prstGeom prst="rect">
          <a:avLst/>
        </a:prstGeom>
      </xdr:spPr>
    </xdr:pic>
    <xdr:clientData/>
  </xdr:twoCellAnchor>
  <xdr:twoCellAnchor editAs="oneCell">
    <xdr:from>
      <xdr:col>10</xdr:col>
      <xdr:colOff>228600</xdr:colOff>
      <xdr:row>86</xdr:row>
      <xdr:rowOff>57341</xdr:rowOff>
    </xdr:from>
    <xdr:to>
      <xdr:col>18</xdr:col>
      <xdr:colOff>358442</xdr:colOff>
      <xdr:row>98</xdr:row>
      <xdr:rowOff>40694</xdr:rowOff>
    </xdr:to>
    <xdr:pic>
      <xdr:nvPicPr>
        <xdr:cNvPr id="24" name="Picture 23">
          <a:extLst>
            <a:ext uri="{FF2B5EF4-FFF2-40B4-BE49-F238E27FC236}">
              <a16:creationId xmlns:a16="http://schemas.microsoft.com/office/drawing/2014/main" id="{F20D6D90-1E36-46B3-9982-DEA88BA4B78C}"/>
            </a:ext>
          </a:extLst>
        </xdr:cNvPr>
        <xdr:cNvPicPr>
          <a:picLocks noChangeAspect="1"/>
        </xdr:cNvPicPr>
      </xdr:nvPicPr>
      <xdr:blipFill>
        <a:blip xmlns:r="http://schemas.openxmlformats.org/officeDocument/2006/relationships" r:embed="rId7"/>
        <a:stretch>
          <a:fillRect/>
        </a:stretch>
      </xdr:blipFill>
      <xdr:spPr>
        <a:xfrm>
          <a:off x="5619750" y="15221141"/>
          <a:ext cx="5749592" cy="2478903"/>
        </a:xfrm>
        <a:prstGeom prst="rect">
          <a:avLst/>
        </a:prstGeom>
      </xdr:spPr>
    </xdr:pic>
    <xdr:clientData/>
  </xdr:twoCellAnchor>
  <xdr:twoCellAnchor editAs="oneCell">
    <xdr:from>
      <xdr:col>10</xdr:col>
      <xdr:colOff>491957</xdr:colOff>
      <xdr:row>116</xdr:row>
      <xdr:rowOff>28575</xdr:rowOff>
    </xdr:from>
    <xdr:to>
      <xdr:col>18</xdr:col>
      <xdr:colOff>514350</xdr:colOff>
      <xdr:row>125</xdr:row>
      <xdr:rowOff>22630</xdr:rowOff>
    </xdr:to>
    <xdr:pic>
      <xdr:nvPicPr>
        <xdr:cNvPr id="6" name="Picture 5">
          <a:extLst>
            <a:ext uri="{FF2B5EF4-FFF2-40B4-BE49-F238E27FC236}">
              <a16:creationId xmlns:a16="http://schemas.microsoft.com/office/drawing/2014/main" id="{530B1B0A-C24A-4F10-87BE-6B2164AEE204}"/>
            </a:ext>
          </a:extLst>
        </xdr:cNvPr>
        <xdr:cNvPicPr>
          <a:picLocks noChangeAspect="1"/>
        </xdr:cNvPicPr>
      </xdr:nvPicPr>
      <xdr:blipFill rotWithShape="1">
        <a:blip xmlns:r="http://schemas.openxmlformats.org/officeDocument/2006/relationships" r:embed="rId8"/>
        <a:srcRect t="13964"/>
        <a:stretch/>
      </xdr:blipFill>
      <xdr:spPr>
        <a:xfrm>
          <a:off x="5883107" y="18583275"/>
          <a:ext cx="5642143" cy="1794280"/>
        </a:xfrm>
        <a:prstGeom prst="rect">
          <a:avLst/>
        </a:prstGeom>
      </xdr:spPr>
    </xdr:pic>
    <xdr:clientData/>
  </xdr:twoCellAnchor>
  <xdr:twoCellAnchor editAs="oneCell">
    <xdr:from>
      <xdr:col>9</xdr:col>
      <xdr:colOff>66675</xdr:colOff>
      <xdr:row>36</xdr:row>
      <xdr:rowOff>39828</xdr:rowOff>
    </xdr:from>
    <xdr:to>
      <xdr:col>19</xdr:col>
      <xdr:colOff>485774</xdr:colOff>
      <xdr:row>47</xdr:row>
      <xdr:rowOff>19050</xdr:rowOff>
    </xdr:to>
    <xdr:pic>
      <xdr:nvPicPr>
        <xdr:cNvPr id="25" name="Picture 24">
          <a:extLst>
            <a:ext uri="{FF2B5EF4-FFF2-40B4-BE49-F238E27FC236}">
              <a16:creationId xmlns:a16="http://schemas.microsoft.com/office/drawing/2014/main" id="{345DEF8A-DE05-46B1-ADE6-4559F5146C59}"/>
            </a:ext>
          </a:extLst>
        </xdr:cNvPr>
        <xdr:cNvPicPr>
          <a:picLocks noChangeAspect="1"/>
        </xdr:cNvPicPr>
      </xdr:nvPicPr>
      <xdr:blipFill>
        <a:blip xmlns:r="http://schemas.openxmlformats.org/officeDocument/2006/relationships" r:embed="rId9"/>
        <a:stretch>
          <a:fillRect/>
        </a:stretch>
      </xdr:blipFill>
      <xdr:spPr>
        <a:xfrm>
          <a:off x="4876800" y="5183328"/>
          <a:ext cx="7448549" cy="2274747"/>
        </a:xfrm>
        <a:prstGeom prst="rect">
          <a:avLst/>
        </a:prstGeom>
      </xdr:spPr>
    </xdr:pic>
    <xdr:clientData/>
  </xdr:twoCellAnchor>
  <xdr:twoCellAnchor editAs="oneCell">
    <xdr:from>
      <xdr:col>11</xdr:col>
      <xdr:colOff>142875</xdr:colOff>
      <xdr:row>10</xdr:row>
      <xdr:rowOff>64476</xdr:rowOff>
    </xdr:from>
    <xdr:to>
      <xdr:col>18</xdr:col>
      <xdr:colOff>552450</xdr:colOff>
      <xdr:row>18</xdr:row>
      <xdr:rowOff>117816</xdr:rowOff>
    </xdr:to>
    <xdr:pic>
      <xdr:nvPicPr>
        <xdr:cNvPr id="27" name="Picture 26">
          <a:extLst>
            <a:ext uri="{FF2B5EF4-FFF2-40B4-BE49-F238E27FC236}">
              <a16:creationId xmlns:a16="http://schemas.microsoft.com/office/drawing/2014/main" id="{28F367BC-6BD2-4B80-90CA-BDC49930A4FB}"/>
            </a:ext>
          </a:extLst>
        </xdr:cNvPr>
        <xdr:cNvPicPr>
          <a:picLocks noChangeAspect="1"/>
        </xdr:cNvPicPr>
      </xdr:nvPicPr>
      <xdr:blipFill>
        <a:blip xmlns:r="http://schemas.openxmlformats.org/officeDocument/2006/relationships" r:embed="rId10"/>
        <a:stretch>
          <a:fillRect/>
        </a:stretch>
      </xdr:blipFill>
      <xdr:spPr>
        <a:xfrm>
          <a:off x="6115050" y="2036151"/>
          <a:ext cx="5448300" cy="2263140"/>
        </a:xfrm>
        <a:prstGeom prst="rect">
          <a:avLst/>
        </a:prstGeom>
      </xdr:spPr>
    </xdr:pic>
    <xdr:clientData/>
  </xdr:twoCellAnchor>
  <xdr:twoCellAnchor editAs="oneCell">
    <xdr:from>
      <xdr:col>9</xdr:col>
      <xdr:colOff>0</xdr:colOff>
      <xdr:row>61</xdr:row>
      <xdr:rowOff>95250</xdr:rowOff>
    </xdr:from>
    <xdr:to>
      <xdr:col>19</xdr:col>
      <xdr:colOff>538461</xdr:colOff>
      <xdr:row>71</xdr:row>
      <xdr:rowOff>48868</xdr:rowOff>
    </xdr:to>
    <xdr:pic>
      <xdr:nvPicPr>
        <xdr:cNvPr id="3" name="Picture 2">
          <a:extLst>
            <a:ext uri="{FF2B5EF4-FFF2-40B4-BE49-F238E27FC236}">
              <a16:creationId xmlns:a16="http://schemas.microsoft.com/office/drawing/2014/main" id="{2B5C1938-59F5-46A5-809A-62C684CF82A3}"/>
            </a:ext>
          </a:extLst>
        </xdr:cNvPr>
        <xdr:cNvPicPr>
          <a:picLocks noChangeAspect="1"/>
        </xdr:cNvPicPr>
      </xdr:nvPicPr>
      <xdr:blipFill>
        <a:blip xmlns:r="http://schemas.openxmlformats.org/officeDocument/2006/relationships" r:embed="rId11"/>
        <a:stretch>
          <a:fillRect/>
        </a:stretch>
      </xdr:blipFill>
      <xdr:spPr>
        <a:xfrm>
          <a:off x="4810125" y="13649325"/>
          <a:ext cx="7567911" cy="1858618"/>
        </a:xfrm>
        <a:prstGeom prst="rect">
          <a:avLst/>
        </a:prstGeom>
      </xdr:spPr>
    </xdr:pic>
    <xdr:clientData/>
  </xdr:twoCellAnchor>
  <xdr:twoCellAnchor editAs="oneCell">
    <xdr:from>
      <xdr:col>9</xdr:col>
      <xdr:colOff>71394</xdr:colOff>
      <xdr:row>101</xdr:row>
      <xdr:rowOff>28574</xdr:rowOff>
    </xdr:from>
    <xdr:to>
      <xdr:col>19</xdr:col>
      <xdr:colOff>666749</xdr:colOff>
      <xdr:row>112</xdr:row>
      <xdr:rowOff>145571</xdr:rowOff>
    </xdr:to>
    <xdr:pic>
      <xdr:nvPicPr>
        <xdr:cNvPr id="5" name="Picture 4">
          <a:extLst>
            <a:ext uri="{FF2B5EF4-FFF2-40B4-BE49-F238E27FC236}">
              <a16:creationId xmlns:a16="http://schemas.microsoft.com/office/drawing/2014/main" id="{0818AE8E-2638-498F-B3CB-8F43CC672FDA}"/>
            </a:ext>
          </a:extLst>
        </xdr:cNvPr>
        <xdr:cNvPicPr>
          <a:picLocks noChangeAspect="1"/>
        </xdr:cNvPicPr>
      </xdr:nvPicPr>
      <xdr:blipFill>
        <a:blip xmlns:r="http://schemas.openxmlformats.org/officeDocument/2006/relationships" r:embed="rId12"/>
        <a:stretch>
          <a:fillRect/>
        </a:stretch>
      </xdr:blipFill>
      <xdr:spPr>
        <a:xfrm>
          <a:off x="4881519" y="21602699"/>
          <a:ext cx="7624805" cy="2460147"/>
        </a:xfrm>
        <a:prstGeom prst="rect">
          <a:avLst/>
        </a:prstGeom>
      </xdr:spPr>
    </xdr:pic>
    <xdr:clientData/>
  </xdr:twoCellAnchor>
  <xdr:twoCellAnchor>
    <xdr:from>
      <xdr:col>14</xdr:col>
      <xdr:colOff>400049</xdr:colOff>
      <xdr:row>8</xdr:row>
      <xdr:rowOff>82973</xdr:rowOff>
    </xdr:from>
    <xdr:to>
      <xdr:col>15</xdr:col>
      <xdr:colOff>571500</xdr:colOff>
      <xdr:row>9</xdr:row>
      <xdr:rowOff>271568</xdr:rowOff>
    </xdr:to>
    <xdr:sp macro="[0]!tp" textlink="">
      <xdr:nvSpPr>
        <xdr:cNvPr id="26" name="Rectangle 25">
          <a:extLst>
            <a:ext uri="{FF2B5EF4-FFF2-40B4-BE49-F238E27FC236}">
              <a16:creationId xmlns:a16="http://schemas.microsoft.com/office/drawing/2014/main" id="{08AECE59-8BEF-43C7-AA19-AA529D289C6A}"/>
            </a:ext>
          </a:extLst>
        </xdr:cNvPr>
        <xdr:cNvSpPr/>
      </xdr:nvSpPr>
      <xdr:spPr>
        <a:xfrm>
          <a:off x="8115299" y="1692698"/>
          <a:ext cx="1057276" cy="274320"/>
        </a:xfrm>
        <a:prstGeom prst="rect">
          <a:avLst/>
        </a:prstGeom>
        <a:solidFill>
          <a:schemeClr val="accent3">
            <a:lumMod val="20000"/>
            <a:lumOff val="80000"/>
          </a:schemeClr>
        </a:solid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1">
                  <a:lumMod val="95000"/>
                  <a:lumOff val="5000"/>
                </a:schemeClr>
              </a:solidFill>
            </a:rPr>
            <a:t>Trade</a:t>
          </a:r>
          <a:r>
            <a:rPr lang="en-US" sz="1100" baseline="0">
              <a:solidFill>
                <a:schemeClr val="tx1">
                  <a:lumMod val="95000"/>
                  <a:lumOff val="5000"/>
                </a:schemeClr>
              </a:solidFill>
            </a:rPr>
            <a:t> Plan</a:t>
          </a:r>
          <a:endParaRPr lang="en-US" sz="1100">
            <a:solidFill>
              <a:schemeClr val="tx1">
                <a:lumMod val="95000"/>
                <a:lumOff val="5000"/>
              </a:schemeClr>
            </a:solidFill>
          </a:endParaRPr>
        </a:p>
      </xdr:txBody>
    </xdr:sp>
    <xdr:clientData/>
  </xdr:twoCellAnchor>
  <xdr:twoCellAnchor>
    <xdr:from>
      <xdr:col>18</xdr:col>
      <xdr:colOff>276225</xdr:colOff>
      <xdr:row>1</xdr:row>
      <xdr:rowOff>76200</xdr:rowOff>
    </xdr:from>
    <xdr:to>
      <xdr:col>20</xdr:col>
      <xdr:colOff>9525</xdr:colOff>
      <xdr:row>2</xdr:row>
      <xdr:rowOff>76200</xdr:rowOff>
    </xdr:to>
    <xdr:sp macro="[0]!enablemacos" textlink="">
      <xdr:nvSpPr>
        <xdr:cNvPr id="7" name="Rectangle: Rounded Corners 6">
          <a:extLst>
            <a:ext uri="{FF2B5EF4-FFF2-40B4-BE49-F238E27FC236}">
              <a16:creationId xmlns:a16="http://schemas.microsoft.com/office/drawing/2014/main" id="{515D6934-11FD-43A1-80F1-2D2896D4A81C}"/>
            </a:ext>
          </a:extLst>
        </xdr:cNvPr>
        <xdr:cNvSpPr/>
      </xdr:nvSpPr>
      <xdr:spPr>
        <a:xfrm>
          <a:off x="11287125" y="123825"/>
          <a:ext cx="1323975" cy="247650"/>
        </a:xfrm>
        <a:prstGeom prst="roundRect">
          <a:avLst/>
        </a:prstGeom>
        <a:solidFill>
          <a:schemeClr val="tx1">
            <a:lumMod val="75000"/>
            <a:lumOff val="25000"/>
          </a:schemeClr>
        </a:solidFill>
        <a:ln>
          <a:solidFill>
            <a:srgbClr val="DE2D2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Enable MAC</a:t>
          </a:r>
          <a:r>
            <a:rPr lang="en-US" sz="1100" baseline="0"/>
            <a:t> OS</a:t>
          </a:r>
          <a:endParaRPr lang="en-US" sz="1100"/>
        </a:p>
      </xdr:txBody>
    </xdr:sp>
    <xdr:clientData/>
  </xdr:twoCellAnchor>
  <xdr:twoCellAnchor editAs="oneCell">
    <xdr:from>
      <xdr:col>1</xdr:col>
      <xdr:colOff>571500</xdr:colOff>
      <xdr:row>131</xdr:row>
      <xdr:rowOff>85725</xdr:rowOff>
    </xdr:from>
    <xdr:to>
      <xdr:col>10</xdr:col>
      <xdr:colOff>238125</xdr:colOff>
      <xdr:row>138</xdr:row>
      <xdr:rowOff>9525</xdr:rowOff>
    </xdr:to>
    <xdr:pic>
      <xdr:nvPicPr>
        <xdr:cNvPr id="28" name="Picture 27">
          <a:extLst>
            <a:ext uri="{FF2B5EF4-FFF2-40B4-BE49-F238E27FC236}">
              <a16:creationId xmlns:a16="http://schemas.microsoft.com/office/drawing/2014/main" id="{C0C40C27-9772-498D-9BD7-CD71DD00ADBA}"/>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33425" y="27993975"/>
          <a:ext cx="4895850"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0-SPREADSHEET\01-%20SOLD\STJ\Ver01\AAES-Stock%20Trading%20Journal.ver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0-SPREADSHEET\01-%20PUBLISHED%20PRODUCTS\PSE\Ver.08\0000PSETJ-V8.54_D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ver7\New%20folder\fin2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ER\Desktop\Costumer_Ver8\Ver8.2\0224AAES%20PSETJ-V8.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0-SPREADSHEET\01-%20PUBLISHED%20PRODUCTS\STJ\STJ%20V2\STJ-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1-Trade Log"/>
      <sheetName val="2-Stock Position"/>
      <sheetName val="Sheet1"/>
      <sheetName val="3-Monthly Report"/>
      <sheetName val="4-Bank Transfers"/>
      <sheetName val="5-Dividends"/>
      <sheetName val="6-Trade Plan"/>
      <sheetName val="Archive"/>
    </sheetNames>
    <sheetDataSet>
      <sheetData sheetId="0"/>
      <sheetData sheetId="1">
        <row r="2">
          <cell r="G2" t="str">
            <v>AAES</v>
          </cell>
        </row>
        <row r="15">
          <cell r="F15" t="str">
            <v>AAL</v>
          </cell>
        </row>
        <row r="16">
          <cell r="F16" t="str">
            <v>AAL</v>
          </cell>
        </row>
        <row r="17">
          <cell r="F17" t="str">
            <v>AAPL</v>
          </cell>
        </row>
        <row r="18">
          <cell r="F18" t="str">
            <v>TSLA</v>
          </cell>
        </row>
        <row r="19">
          <cell r="F19" t="str">
            <v>FB</v>
          </cell>
        </row>
        <row r="20">
          <cell r="F20" t="str">
            <v>TSLA</v>
          </cell>
        </row>
        <row r="21">
          <cell r="F21" t="str">
            <v>INTC</v>
          </cell>
        </row>
        <row r="22">
          <cell r="F22" t="str">
            <v>FB</v>
          </cell>
        </row>
        <row r="23">
          <cell r="F23" t="str">
            <v>INTC</v>
          </cell>
        </row>
        <row r="24">
          <cell r="F24" t="str">
            <v>TSLA</v>
          </cell>
        </row>
        <row r="25">
          <cell r="F25" t="str">
            <v>TSLA</v>
          </cell>
        </row>
        <row r="26">
          <cell r="F26" t="str">
            <v>NVDA</v>
          </cell>
        </row>
        <row r="27">
          <cell r="F27" t="str">
            <v>MSFT</v>
          </cell>
        </row>
        <row r="28">
          <cell r="F28" t="str">
            <v>AAPL</v>
          </cell>
        </row>
        <row r="29">
          <cell r="F29" t="str">
            <v>NVDA</v>
          </cell>
        </row>
        <row r="30">
          <cell r="F30" t="str">
            <v>NVDA</v>
          </cell>
        </row>
        <row r="31">
          <cell r="F31" t="str">
            <v>GE</v>
          </cell>
        </row>
        <row r="32">
          <cell r="F32" t="str">
            <v>FB</v>
          </cell>
        </row>
        <row r="33">
          <cell r="F33" t="str">
            <v>GE</v>
          </cell>
        </row>
        <row r="34">
          <cell r="F34" t="str">
            <v>FB</v>
          </cell>
        </row>
        <row r="35">
          <cell r="F35" t="str">
            <v>X</v>
          </cell>
        </row>
        <row r="36">
          <cell r="F36" t="str">
            <v>X</v>
          </cell>
        </row>
        <row r="37">
          <cell r="F37" t="str">
            <v>Y</v>
          </cell>
        </row>
        <row r="38">
          <cell r="F38" t="str">
            <v>Y</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0</v>
          </cell>
        </row>
        <row r="361">
          <cell r="F361">
            <v>0</v>
          </cell>
        </row>
        <row r="362">
          <cell r="F362">
            <v>0</v>
          </cell>
        </row>
        <row r="363">
          <cell r="F363">
            <v>0</v>
          </cell>
        </row>
        <row r="364">
          <cell r="F364">
            <v>0</v>
          </cell>
        </row>
        <row r="365">
          <cell r="F365">
            <v>0</v>
          </cell>
        </row>
        <row r="366">
          <cell r="F366">
            <v>0</v>
          </cell>
        </row>
        <row r="367">
          <cell r="F367">
            <v>0</v>
          </cell>
        </row>
        <row r="368">
          <cell r="F368">
            <v>0</v>
          </cell>
        </row>
        <row r="369">
          <cell r="F369">
            <v>0</v>
          </cell>
        </row>
        <row r="370">
          <cell r="F370">
            <v>0</v>
          </cell>
        </row>
        <row r="371">
          <cell r="F371">
            <v>0</v>
          </cell>
        </row>
        <row r="372">
          <cell r="F372">
            <v>0</v>
          </cell>
        </row>
        <row r="373">
          <cell r="F373">
            <v>0</v>
          </cell>
        </row>
        <row r="374">
          <cell r="F374">
            <v>0</v>
          </cell>
        </row>
        <row r="375">
          <cell r="F375">
            <v>0</v>
          </cell>
        </row>
        <row r="376">
          <cell r="F376">
            <v>0</v>
          </cell>
        </row>
        <row r="377">
          <cell r="F377">
            <v>0</v>
          </cell>
        </row>
        <row r="378">
          <cell r="F378">
            <v>0</v>
          </cell>
        </row>
        <row r="379">
          <cell r="F379">
            <v>0</v>
          </cell>
        </row>
        <row r="380">
          <cell r="F380">
            <v>0</v>
          </cell>
        </row>
        <row r="381">
          <cell r="F381">
            <v>0</v>
          </cell>
        </row>
        <row r="382">
          <cell r="F382">
            <v>0</v>
          </cell>
        </row>
        <row r="383">
          <cell r="F383">
            <v>0</v>
          </cell>
        </row>
        <row r="384">
          <cell r="F384">
            <v>0</v>
          </cell>
        </row>
        <row r="385">
          <cell r="F385">
            <v>0</v>
          </cell>
        </row>
        <row r="386">
          <cell r="F386">
            <v>0</v>
          </cell>
        </row>
        <row r="387">
          <cell r="F387">
            <v>0</v>
          </cell>
        </row>
        <row r="388">
          <cell r="F388">
            <v>0</v>
          </cell>
        </row>
        <row r="389">
          <cell r="F389">
            <v>0</v>
          </cell>
        </row>
        <row r="390">
          <cell r="F390">
            <v>0</v>
          </cell>
        </row>
        <row r="391">
          <cell r="F391">
            <v>0</v>
          </cell>
        </row>
        <row r="392">
          <cell r="F392">
            <v>0</v>
          </cell>
        </row>
        <row r="393">
          <cell r="F393">
            <v>0</v>
          </cell>
        </row>
        <row r="394">
          <cell r="F394">
            <v>0</v>
          </cell>
        </row>
        <row r="395">
          <cell r="F395">
            <v>0</v>
          </cell>
        </row>
        <row r="396">
          <cell r="F396">
            <v>0</v>
          </cell>
        </row>
        <row r="397">
          <cell r="F397">
            <v>0</v>
          </cell>
        </row>
        <row r="398">
          <cell r="F398">
            <v>0</v>
          </cell>
        </row>
        <row r="399">
          <cell r="F399">
            <v>0</v>
          </cell>
        </row>
        <row r="400">
          <cell r="F400">
            <v>0</v>
          </cell>
        </row>
        <row r="401">
          <cell r="F401">
            <v>0</v>
          </cell>
        </row>
        <row r="402">
          <cell r="F402">
            <v>0</v>
          </cell>
        </row>
        <row r="403">
          <cell r="F403">
            <v>0</v>
          </cell>
        </row>
        <row r="404">
          <cell r="F404">
            <v>0</v>
          </cell>
        </row>
        <row r="405">
          <cell r="F405">
            <v>0</v>
          </cell>
        </row>
        <row r="406">
          <cell r="F406">
            <v>0</v>
          </cell>
        </row>
        <row r="407">
          <cell r="F407">
            <v>0</v>
          </cell>
        </row>
        <row r="408">
          <cell r="F408">
            <v>0</v>
          </cell>
        </row>
        <row r="409">
          <cell r="F409">
            <v>0</v>
          </cell>
        </row>
        <row r="410">
          <cell r="F410">
            <v>0</v>
          </cell>
        </row>
        <row r="411">
          <cell r="F411">
            <v>0</v>
          </cell>
        </row>
        <row r="412">
          <cell r="F412">
            <v>0</v>
          </cell>
        </row>
        <row r="413">
          <cell r="F413">
            <v>0</v>
          </cell>
        </row>
        <row r="414">
          <cell r="F414">
            <v>0</v>
          </cell>
        </row>
        <row r="415">
          <cell r="F415">
            <v>0</v>
          </cell>
        </row>
        <row r="416">
          <cell r="F416">
            <v>0</v>
          </cell>
        </row>
        <row r="417">
          <cell r="F417">
            <v>0</v>
          </cell>
        </row>
        <row r="418">
          <cell r="F418">
            <v>0</v>
          </cell>
        </row>
        <row r="419">
          <cell r="F419">
            <v>0</v>
          </cell>
        </row>
        <row r="420">
          <cell r="F420">
            <v>0</v>
          </cell>
        </row>
        <row r="421">
          <cell r="F421">
            <v>0</v>
          </cell>
        </row>
        <row r="422">
          <cell r="F422">
            <v>0</v>
          </cell>
        </row>
        <row r="423">
          <cell r="F423">
            <v>0</v>
          </cell>
        </row>
        <row r="424">
          <cell r="F424">
            <v>0</v>
          </cell>
        </row>
        <row r="425">
          <cell r="F425">
            <v>0</v>
          </cell>
        </row>
        <row r="426">
          <cell r="F426">
            <v>0</v>
          </cell>
        </row>
        <row r="427">
          <cell r="F427">
            <v>0</v>
          </cell>
        </row>
        <row r="428">
          <cell r="F428">
            <v>0</v>
          </cell>
        </row>
        <row r="429">
          <cell r="F429">
            <v>0</v>
          </cell>
        </row>
        <row r="430">
          <cell r="F430">
            <v>0</v>
          </cell>
        </row>
        <row r="431">
          <cell r="F431">
            <v>0</v>
          </cell>
        </row>
        <row r="432">
          <cell r="F432">
            <v>0</v>
          </cell>
        </row>
        <row r="433">
          <cell r="F433">
            <v>0</v>
          </cell>
        </row>
        <row r="434">
          <cell r="F434">
            <v>0</v>
          </cell>
        </row>
        <row r="435">
          <cell r="F435">
            <v>0</v>
          </cell>
        </row>
        <row r="436">
          <cell r="F436">
            <v>0</v>
          </cell>
        </row>
        <row r="437">
          <cell r="F437">
            <v>0</v>
          </cell>
        </row>
        <row r="438">
          <cell r="F438">
            <v>0</v>
          </cell>
        </row>
        <row r="439">
          <cell r="F439">
            <v>0</v>
          </cell>
        </row>
        <row r="440">
          <cell r="F440">
            <v>0</v>
          </cell>
        </row>
        <row r="441">
          <cell r="F441">
            <v>0</v>
          </cell>
        </row>
        <row r="442">
          <cell r="F442">
            <v>0</v>
          </cell>
        </row>
        <row r="443">
          <cell r="F443">
            <v>0</v>
          </cell>
        </row>
        <row r="444">
          <cell r="F444">
            <v>0</v>
          </cell>
        </row>
        <row r="445">
          <cell r="F445">
            <v>0</v>
          </cell>
        </row>
        <row r="446">
          <cell r="F446">
            <v>0</v>
          </cell>
        </row>
        <row r="447">
          <cell r="F447">
            <v>0</v>
          </cell>
        </row>
        <row r="448">
          <cell r="F448">
            <v>0</v>
          </cell>
        </row>
        <row r="449">
          <cell r="F449">
            <v>0</v>
          </cell>
        </row>
        <row r="450">
          <cell r="F450">
            <v>0</v>
          </cell>
        </row>
        <row r="451">
          <cell r="F451">
            <v>0</v>
          </cell>
        </row>
        <row r="452">
          <cell r="F452">
            <v>0</v>
          </cell>
        </row>
        <row r="453">
          <cell r="F453">
            <v>0</v>
          </cell>
        </row>
        <row r="454">
          <cell r="F454">
            <v>0</v>
          </cell>
        </row>
        <row r="455">
          <cell r="F455">
            <v>0</v>
          </cell>
        </row>
        <row r="456">
          <cell r="F456">
            <v>0</v>
          </cell>
        </row>
        <row r="457">
          <cell r="F457">
            <v>0</v>
          </cell>
        </row>
        <row r="458">
          <cell r="F458">
            <v>0</v>
          </cell>
        </row>
        <row r="459">
          <cell r="F459">
            <v>0</v>
          </cell>
        </row>
        <row r="460">
          <cell r="F460">
            <v>0</v>
          </cell>
        </row>
        <row r="461">
          <cell r="F461">
            <v>0</v>
          </cell>
        </row>
        <row r="462">
          <cell r="F462">
            <v>0</v>
          </cell>
        </row>
        <row r="463">
          <cell r="F463">
            <v>0</v>
          </cell>
        </row>
        <row r="464">
          <cell r="F464">
            <v>0</v>
          </cell>
        </row>
        <row r="465">
          <cell r="F465">
            <v>0</v>
          </cell>
        </row>
        <row r="466">
          <cell r="F466">
            <v>0</v>
          </cell>
        </row>
        <row r="467">
          <cell r="F467">
            <v>0</v>
          </cell>
        </row>
        <row r="468">
          <cell r="F468">
            <v>0</v>
          </cell>
        </row>
        <row r="469">
          <cell r="F469">
            <v>0</v>
          </cell>
        </row>
        <row r="470">
          <cell r="F470">
            <v>0</v>
          </cell>
        </row>
        <row r="471">
          <cell r="F471">
            <v>0</v>
          </cell>
        </row>
        <row r="472">
          <cell r="F472">
            <v>0</v>
          </cell>
        </row>
        <row r="473">
          <cell r="F473">
            <v>0</v>
          </cell>
        </row>
        <row r="474">
          <cell r="F474">
            <v>0</v>
          </cell>
        </row>
        <row r="475">
          <cell r="F475">
            <v>0</v>
          </cell>
        </row>
        <row r="476">
          <cell r="F476">
            <v>0</v>
          </cell>
        </row>
        <row r="477">
          <cell r="F477">
            <v>0</v>
          </cell>
        </row>
        <row r="478">
          <cell r="F478">
            <v>0</v>
          </cell>
        </row>
        <row r="479">
          <cell r="F479">
            <v>0</v>
          </cell>
        </row>
        <row r="480">
          <cell r="F480">
            <v>0</v>
          </cell>
        </row>
        <row r="481">
          <cell r="F481">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7">
          <cell r="F497">
            <v>0</v>
          </cell>
        </row>
        <row r="498">
          <cell r="F498">
            <v>0</v>
          </cell>
        </row>
        <row r="499">
          <cell r="F499">
            <v>0</v>
          </cell>
        </row>
        <row r="500">
          <cell r="F500">
            <v>0</v>
          </cell>
        </row>
        <row r="501">
          <cell r="F501">
            <v>0</v>
          </cell>
        </row>
        <row r="502">
          <cell r="F502">
            <v>0</v>
          </cell>
        </row>
        <row r="503">
          <cell r="F503">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F512">
            <v>0</v>
          </cell>
        </row>
        <row r="513">
          <cell r="F513">
            <v>0</v>
          </cell>
        </row>
        <row r="514">
          <cell r="F514">
            <v>0</v>
          </cell>
        </row>
        <row r="515">
          <cell r="F515">
            <v>0</v>
          </cell>
        </row>
        <row r="516">
          <cell r="F516">
            <v>0</v>
          </cell>
        </row>
        <row r="517">
          <cell r="F517">
            <v>0</v>
          </cell>
        </row>
        <row r="518">
          <cell r="F518">
            <v>0</v>
          </cell>
        </row>
        <row r="519">
          <cell r="F519">
            <v>0</v>
          </cell>
        </row>
        <row r="520">
          <cell r="F520">
            <v>0</v>
          </cell>
        </row>
        <row r="521">
          <cell r="F521">
            <v>0</v>
          </cell>
        </row>
        <row r="522">
          <cell r="F522">
            <v>0</v>
          </cell>
        </row>
        <row r="523">
          <cell r="F523">
            <v>0</v>
          </cell>
        </row>
        <row r="524">
          <cell r="F524">
            <v>0</v>
          </cell>
        </row>
        <row r="525">
          <cell r="F525">
            <v>0</v>
          </cell>
        </row>
        <row r="526">
          <cell r="F526">
            <v>0</v>
          </cell>
        </row>
        <row r="527">
          <cell r="F527">
            <v>0</v>
          </cell>
        </row>
        <row r="528">
          <cell r="F528">
            <v>0</v>
          </cell>
        </row>
        <row r="529">
          <cell r="F529">
            <v>0</v>
          </cell>
        </row>
        <row r="530">
          <cell r="F530">
            <v>0</v>
          </cell>
        </row>
        <row r="531">
          <cell r="F531">
            <v>0</v>
          </cell>
        </row>
        <row r="532">
          <cell r="F532">
            <v>0</v>
          </cell>
        </row>
        <row r="533">
          <cell r="F533">
            <v>0</v>
          </cell>
        </row>
        <row r="534">
          <cell r="F534">
            <v>0</v>
          </cell>
        </row>
        <row r="535">
          <cell r="F535">
            <v>0</v>
          </cell>
        </row>
        <row r="536">
          <cell r="F536">
            <v>0</v>
          </cell>
        </row>
        <row r="537">
          <cell r="F537">
            <v>0</v>
          </cell>
        </row>
        <row r="538">
          <cell r="F538">
            <v>0</v>
          </cell>
        </row>
        <row r="539">
          <cell r="F539">
            <v>0</v>
          </cell>
        </row>
        <row r="540">
          <cell r="F540">
            <v>0</v>
          </cell>
        </row>
        <row r="541">
          <cell r="F541">
            <v>0</v>
          </cell>
        </row>
        <row r="542">
          <cell r="F542">
            <v>0</v>
          </cell>
        </row>
        <row r="543">
          <cell r="F543">
            <v>0</v>
          </cell>
        </row>
        <row r="544">
          <cell r="F544">
            <v>0</v>
          </cell>
        </row>
        <row r="545">
          <cell r="F545">
            <v>0</v>
          </cell>
        </row>
        <row r="546">
          <cell r="F546">
            <v>0</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6">
          <cell r="F566">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F586">
            <v>0</v>
          </cell>
        </row>
        <row r="587">
          <cell r="F587">
            <v>0</v>
          </cell>
        </row>
        <row r="588">
          <cell r="F588">
            <v>0</v>
          </cell>
        </row>
        <row r="589">
          <cell r="F589">
            <v>0</v>
          </cell>
        </row>
        <row r="590">
          <cell r="F590">
            <v>0</v>
          </cell>
        </row>
        <row r="591">
          <cell r="F591">
            <v>0</v>
          </cell>
        </row>
        <row r="592">
          <cell r="F592">
            <v>0</v>
          </cell>
        </row>
        <row r="593">
          <cell r="F593">
            <v>0</v>
          </cell>
        </row>
        <row r="594">
          <cell r="F594">
            <v>0</v>
          </cell>
        </row>
        <row r="595">
          <cell r="F595">
            <v>0</v>
          </cell>
        </row>
        <row r="596">
          <cell r="F596">
            <v>0</v>
          </cell>
        </row>
        <row r="597">
          <cell r="F597">
            <v>0</v>
          </cell>
        </row>
        <row r="598">
          <cell r="F598">
            <v>0</v>
          </cell>
        </row>
        <row r="599">
          <cell r="F599">
            <v>0</v>
          </cell>
        </row>
        <row r="600">
          <cell r="F600">
            <v>0</v>
          </cell>
        </row>
        <row r="601">
          <cell r="F601">
            <v>0</v>
          </cell>
        </row>
        <row r="602">
          <cell r="F602">
            <v>0</v>
          </cell>
        </row>
        <row r="603">
          <cell r="F603">
            <v>0</v>
          </cell>
        </row>
        <row r="604">
          <cell r="F604">
            <v>0</v>
          </cell>
        </row>
        <row r="605">
          <cell r="F605">
            <v>0</v>
          </cell>
        </row>
        <row r="606">
          <cell r="F606">
            <v>0</v>
          </cell>
        </row>
        <row r="607">
          <cell r="F607">
            <v>0</v>
          </cell>
        </row>
        <row r="608">
          <cell r="F608">
            <v>0</v>
          </cell>
        </row>
        <row r="609">
          <cell r="F609">
            <v>0</v>
          </cell>
        </row>
        <row r="610">
          <cell r="F610">
            <v>0</v>
          </cell>
        </row>
        <row r="611">
          <cell r="F611">
            <v>0</v>
          </cell>
        </row>
        <row r="612">
          <cell r="F612">
            <v>0</v>
          </cell>
        </row>
        <row r="613">
          <cell r="F613">
            <v>0</v>
          </cell>
        </row>
        <row r="614">
          <cell r="F614">
            <v>0</v>
          </cell>
        </row>
        <row r="615">
          <cell r="F615">
            <v>0</v>
          </cell>
        </row>
        <row r="616">
          <cell r="F616">
            <v>0</v>
          </cell>
        </row>
        <row r="617">
          <cell r="F617">
            <v>0</v>
          </cell>
        </row>
        <row r="618">
          <cell r="F618">
            <v>0</v>
          </cell>
        </row>
        <row r="619">
          <cell r="F619">
            <v>0</v>
          </cell>
        </row>
        <row r="620">
          <cell r="F620">
            <v>0</v>
          </cell>
        </row>
        <row r="621">
          <cell r="F621">
            <v>0</v>
          </cell>
        </row>
        <row r="622">
          <cell r="F622">
            <v>0</v>
          </cell>
        </row>
        <row r="623">
          <cell r="F623">
            <v>0</v>
          </cell>
        </row>
        <row r="624">
          <cell r="F624">
            <v>0</v>
          </cell>
        </row>
        <row r="625">
          <cell r="F625">
            <v>0</v>
          </cell>
        </row>
        <row r="626">
          <cell r="F626">
            <v>0</v>
          </cell>
        </row>
        <row r="627">
          <cell r="F627">
            <v>0</v>
          </cell>
        </row>
        <row r="628">
          <cell r="F628">
            <v>0</v>
          </cell>
        </row>
        <row r="629">
          <cell r="F629">
            <v>0</v>
          </cell>
        </row>
        <row r="630">
          <cell r="F630">
            <v>0</v>
          </cell>
        </row>
        <row r="631">
          <cell r="F631">
            <v>0</v>
          </cell>
        </row>
        <row r="632">
          <cell r="F632">
            <v>0</v>
          </cell>
        </row>
        <row r="633">
          <cell r="F633">
            <v>0</v>
          </cell>
        </row>
        <row r="634">
          <cell r="F634">
            <v>0</v>
          </cell>
        </row>
        <row r="635">
          <cell r="F635">
            <v>0</v>
          </cell>
        </row>
        <row r="636">
          <cell r="F636">
            <v>0</v>
          </cell>
        </row>
        <row r="637">
          <cell r="F637">
            <v>0</v>
          </cell>
        </row>
        <row r="638">
          <cell r="F638">
            <v>0</v>
          </cell>
        </row>
        <row r="639">
          <cell r="F639">
            <v>0</v>
          </cell>
        </row>
        <row r="640">
          <cell r="F640">
            <v>0</v>
          </cell>
        </row>
        <row r="641">
          <cell r="F641">
            <v>0</v>
          </cell>
        </row>
        <row r="642">
          <cell r="F642">
            <v>0</v>
          </cell>
        </row>
        <row r="643">
          <cell r="F643">
            <v>0</v>
          </cell>
        </row>
        <row r="644">
          <cell r="F644">
            <v>0</v>
          </cell>
        </row>
        <row r="645">
          <cell r="F645">
            <v>0</v>
          </cell>
        </row>
        <row r="646">
          <cell r="F646">
            <v>0</v>
          </cell>
        </row>
        <row r="647">
          <cell r="F647">
            <v>0</v>
          </cell>
        </row>
        <row r="648">
          <cell r="F648">
            <v>0</v>
          </cell>
        </row>
        <row r="649">
          <cell r="F649">
            <v>0</v>
          </cell>
        </row>
        <row r="650">
          <cell r="F650">
            <v>0</v>
          </cell>
        </row>
        <row r="651">
          <cell r="F651">
            <v>0</v>
          </cell>
        </row>
        <row r="652">
          <cell r="F652">
            <v>0</v>
          </cell>
        </row>
        <row r="653">
          <cell r="F653">
            <v>0</v>
          </cell>
        </row>
        <row r="654">
          <cell r="F654">
            <v>0</v>
          </cell>
        </row>
        <row r="655">
          <cell r="F655">
            <v>0</v>
          </cell>
        </row>
        <row r="656">
          <cell r="F656">
            <v>0</v>
          </cell>
        </row>
        <row r="657">
          <cell r="F657">
            <v>0</v>
          </cell>
        </row>
        <row r="658">
          <cell r="F658">
            <v>0</v>
          </cell>
        </row>
        <row r="659">
          <cell r="F659">
            <v>0</v>
          </cell>
        </row>
        <row r="660">
          <cell r="F660">
            <v>0</v>
          </cell>
        </row>
        <row r="661">
          <cell r="F661">
            <v>0</v>
          </cell>
        </row>
        <row r="662">
          <cell r="F662">
            <v>0</v>
          </cell>
        </row>
        <row r="663">
          <cell r="F663">
            <v>0</v>
          </cell>
        </row>
        <row r="664">
          <cell r="F664">
            <v>0</v>
          </cell>
        </row>
        <row r="665">
          <cell r="F665">
            <v>0</v>
          </cell>
        </row>
        <row r="666">
          <cell r="F666">
            <v>0</v>
          </cell>
        </row>
        <row r="667">
          <cell r="F667">
            <v>0</v>
          </cell>
        </row>
        <row r="668">
          <cell r="F668">
            <v>0</v>
          </cell>
        </row>
        <row r="669">
          <cell r="F669">
            <v>0</v>
          </cell>
        </row>
        <row r="670">
          <cell r="F670">
            <v>0</v>
          </cell>
        </row>
        <row r="671">
          <cell r="F671">
            <v>0</v>
          </cell>
        </row>
        <row r="672">
          <cell r="F672">
            <v>0</v>
          </cell>
        </row>
        <row r="673">
          <cell r="F673">
            <v>0</v>
          </cell>
        </row>
        <row r="674">
          <cell r="F674">
            <v>0</v>
          </cell>
        </row>
        <row r="675">
          <cell r="F675">
            <v>0</v>
          </cell>
        </row>
        <row r="676">
          <cell r="F676">
            <v>0</v>
          </cell>
        </row>
        <row r="677">
          <cell r="F677">
            <v>0</v>
          </cell>
        </row>
        <row r="678">
          <cell r="F678">
            <v>0</v>
          </cell>
        </row>
        <row r="679">
          <cell r="F679">
            <v>0</v>
          </cell>
        </row>
        <row r="680">
          <cell r="F680">
            <v>0</v>
          </cell>
        </row>
        <row r="681">
          <cell r="F681">
            <v>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0</v>
          </cell>
        </row>
        <row r="691">
          <cell r="F691">
            <v>0</v>
          </cell>
        </row>
        <row r="692">
          <cell r="F692">
            <v>0</v>
          </cell>
        </row>
        <row r="693">
          <cell r="F693">
            <v>0</v>
          </cell>
        </row>
        <row r="694">
          <cell r="F694">
            <v>0</v>
          </cell>
        </row>
        <row r="695">
          <cell r="F695">
            <v>0</v>
          </cell>
        </row>
        <row r="696">
          <cell r="F696">
            <v>0</v>
          </cell>
        </row>
        <row r="697">
          <cell r="F697">
            <v>0</v>
          </cell>
        </row>
        <row r="698">
          <cell r="F698">
            <v>0</v>
          </cell>
        </row>
        <row r="699">
          <cell r="F699">
            <v>0</v>
          </cell>
        </row>
        <row r="700">
          <cell r="F700">
            <v>0</v>
          </cell>
        </row>
        <row r="701">
          <cell r="F701">
            <v>0</v>
          </cell>
        </row>
        <row r="702">
          <cell r="F702">
            <v>0</v>
          </cell>
        </row>
        <row r="703">
          <cell r="F703">
            <v>0</v>
          </cell>
        </row>
        <row r="704">
          <cell r="F704">
            <v>0</v>
          </cell>
        </row>
        <row r="705">
          <cell r="F705">
            <v>0</v>
          </cell>
        </row>
        <row r="706">
          <cell r="F706">
            <v>0</v>
          </cell>
        </row>
        <row r="707">
          <cell r="F707">
            <v>0</v>
          </cell>
        </row>
        <row r="708">
          <cell r="F708">
            <v>0</v>
          </cell>
        </row>
        <row r="709">
          <cell r="F709">
            <v>0</v>
          </cell>
        </row>
        <row r="710">
          <cell r="F710">
            <v>0</v>
          </cell>
        </row>
        <row r="711">
          <cell r="F711">
            <v>0</v>
          </cell>
        </row>
        <row r="712">
          <cell r="F712">
            <v>0</v>
          </cell>
        </row>
        <row r="713">
          <cell r="F713">
            <v>0</v>
          </cell>
        </row>
        <row r="714">
          <cell r="F714">
            <v>0</v>
          </cell>
        </row>
        <row r="715">
          <cell r="F715">
            <v>0</v>
          </cell>
        </row>
        <row r="716">
          <cell r="F716">
            <v>0</v>
          </cell>
        </row>
        <row r="717">
          <cell r="F717">
            <v>0</v>
          </cell>
        </row>
        <row r="718">
          <cell r="F718">
            <v>0</v>
          </cell>
        </row>
        <row r="719">
          <cell r="F719">
            <v>0</v>
          </cell>
        </row>
        <row r="720">
          <cell r="F720">
            <v>0</v>
          </cell>
        </row>
        <row r="721">
          <cell r="F721">
            <v>0</v>
          </cell>
        </row>
        <row r="722">
          <cell r="F722">
            <v>0</v>
          </cell>
        </row>
        <row r="723">
          <cell r="F723">
            <v>0</v>
          </cell>
        </row>
        <row r="724">
          <cell r="F724">
            <v>0</v>
          </cell>
        </row>
        <row r="725">
          <cell r="F725">
            <v>0</v>
          </cell>
        </row>
        <row r="726">
          <cell r="F726">
            <v>0</v>
          </cell>
        </row>
        <row r="727">
          <cell r="F727">
            <v>0</v>
          </cell>
        </row>
        <row r="728">
          <cell r="F728">
            <v>0</v>
          </cell>
        </row>
        <row r="729">
          <cell r="F729">
            <v>0</v>
          </cell>
        </row>
        <row r="730">
          <cell r="F730">
            <v>0</v>
          </cell>
        </row>
        <row r="731">
          <cell r="F731">
            <v>0</v>
          </cell>
        </row>
        <row r="732">
          <cell r="F732">
            <v>0</v>
          </cell>
        </row>
        <row r="733">
          <cell r="F733">
            <v>0</v>
          </cell>
        </row>
        <row r="734">
          <cell r="F734">
            <v>0</v>
          </cell>
        </row>
        <row r="735">
          <cell r="F735">
            <v>0</v>
          </cell>
        </row>
        <row r="736">
          <cell r="F736">
            <v>0</v>
          </cell>
        </row>
        <row r="737">
          <cell r="F737">
            <v>0</v>
          </cell>
        </row>
        <row r="738">
          <cell r="F738">
            <v>0</v>
          </cell>
        </row>
        <row r="739">
          <cell r="F739">
            <v>0</v>
          </cell>
        </row>
        <row r="740">
          <cell r="F740">
            <v>0</v>
          </cell>
        </row>
        <row r="741">
          <cell r="F741">
            <v>0</v>
          </cell>
        </row>
        <row r="742">
          <cell r="F742">
            <v>0</v>
          </cell>
        </row>
        <row r="743">
          <cell r="F743">
            <v>0</v>
          </cell>
        </row>
        <row r="744">
          <cell r="F744">
            <v>0</v>
          </cell>
        </row>
        <row r="745">
          <cell r="F745">
            <v>0</v>
          </cell>
        </row>
        <row r="746">
          <cell r="F746">
            <v>0</v>
          </cell>
        </row>
        <row r="747">
          <cell r="F747">
            <v>0</v>
          </cell>
        </row>
        <row r="748">
          <cell r="F748">
            <v>0</v>
          </cell>
        </row>
        <row r="749">
          <cell r="F749">
            <v>0</v>
          </cell>
        </row>
        <row r="750">
          <cell r="F750">
            <v>0</v>
          </cell>
        </row>
        <row r="751">
          <cell r="F751">
            <v>0</v>
          </cell>
        </row>
        <row r="752">
          <cell r="F752">
            <v>0</v>
          </cell>
        </row>
        <row r="753">
          <cell r="F753">
            <v>0</v>
          </cell>
        </row>
        <row r="754">
          <cell r="F754">
            <v>0</v>
          </cell>
        </row>
        <row r="755">
          <cell r="F755">
            <v>0</v>
          </cell>
        </row>
        <row r="756">
          <cell r="F756">
            <v>0</v>
          </cell>
        </row>
        <row r="757">
          <cell r="F757">
            <v>0</v>
          </cell>
        </row>
        <row r="758">
          <cell r="F758">
            <v>0</v>
          </cell>
        </row>
        <row r="759">
          <cell r="F759">
            <v>0</v>
          </cell>
        </row>
        <row r="760">
          <cell r="F760">
            <v>0</v>
          </cell>
        </row>
        <row r="761">
          <cell r="F761">
            <v>0</v>
          </cell>
        </row>
        <row r="762">
          <cell r="F762">
            <v>0</v>
          </cell>
        </row>
        <row r="763">
          <cell r="F763">
            <v>0</v>
          </cell>
        </row>
        <row r="764">
          <cell r="F764">
            <v>0</v>
          </cell>
        </row>
        <row r="765">
          <cell r="F765">
            <v>0</v>
          </cell>
        </row>
        <row r="766">
          <cell r="F766">
            <v>0</v>
          </cell>
        </row>
        <row r="767">
          <cell r="F767">
            <v>0</v>
          </cell>
        </row>
        <row r="768">
          <cell r="F768">
            <v>0</v>
          </cell>
        </row>
        <row r="769">
          <cell r="F769">
            <v>0</v>
          </cell>
        </row>
        <row r="770">
          <cell r="F770">
            <v>0</v>
          </cell>
        </row>
        <row r="771">
          <cell r="F771">
            <v>0</v>
          </cell>
        </row>
        <row r="772">
          <cell r="F772">
            <v>0</v>
          </cell>
        </row>
        <row r="773">
          <cell r="F773">
            <v>0</v>
          </cell>
        </row>
        <row r="774">
          <cell r="F774">
            <v>0</v>
          </cell>
        </row>
        <row r="775">
          <cell r="F775">
            <v>0</v>
          </cell>
        </row>
        <row r="776">
          <cell r="F776">
            <v>0</v>
          </cell>
        </row>
        <row r="777">
          <cell r="F777">
            <v>0</v>
          </cell>
        </row>
        <row r="778">
          <cell r="F778">
            <v>0</v>
          </cell>
        </row>
        <row r="779">
          <cell r="F779">
            <v>0</v>
          </cell>
        </row>
        <row r="780">
          <cell r="F780">
            <v>0</v>
          </cell>
        </row>
        <row r="781">
          <cell r="F781">
            <v>0</v>
          </cell>
        </row>
        <row r="782">
          <cell r="F782">
            <v>0</v>
          </cell>
        </row>
        <row r="783">
          <cell r="F783">
            <v>0</v>
          </cell>
        </row>
        <row r="784">
          <cell r="F784">
            <v>0</v>
          </cell>
        </row>
        <row r="785">
          <cell r="F785">
            <v>0</v>
          </cell>
        </row>
        <row r="786">
          <cell r="F786">
            <v>0</v>
          </cell>
        </row>
        <row r="787">
          <cell r="F787">
            <v>0</v>
          </cell>
        </row>
        <row r="788">
          <cell r="F788">
            <v>0</v>
          </cell>
        </row>
        <row r="789">
          <cell r="F789">
            <v>0</v>
          </cell>
        </row>
        <row r="790">
          <cell r="F790">
            <v>0</v>
          </cell>
        </row>
        <row r="791">
          <cell r="F791">
            <v>0</v>
          </cell>
        </row>
        <row r="792">
          <cell r="F792">
            <v>0</v>
          </cell>
        </row>
        <row r="793">
          <cell r="F793">
            <v>0</v>
          </cell>
        </row>
        <row r="794">
          <cell r="F794">
            <v>0</v>
          </cell>
        </row>
        <row r="795">
          <cell r="F795">
            <v>0</v>
          </cell>
        </row>
        <row r="796">
          <cell r="F796">
            <v>0</v>
          </cell>
        </row>
        <row r="797">
          <cell r="F797">
            <v>0</v>
          </cell>
        </row>
        <row r="798">
          <cell r="F798">
            <v>0</v>
          </cell>
        </row>
        <row r="799">
          <cell r="F799">
            <v>0</v>
          </cell>
        </row>
        <row r="800">
          <cell r="F800">
            <v>0</v>
          </cell>
        </row>
        <row r="801">
          <cell r="F801">
            <v>0</v>
          </cell>
        </row>
        <row r="802">
          <cell r="F802">
            <v>0</v>
          </cell>
        </row>
        <row r="803">
          <cell r="F803">
            <v>0</v>
          </cell>
        </row>
        <row r="804">
          <cell r="F804">
            <v>0</v>
          </cell>
        </row>
        <row r="805">
          <cell r="F805">
            <v>0</v>
          </cell>
        </row>
        <row r="806">
          <cell r="F806">
            <v>0</v>
          </cell>
        </row>
        <row r="807">
          <cell r="F807">
            <v>0</v>
          </cell>
        </row>
        <row r="808">
          <cell r="F808">
            <v>0</v>
          </cell>
        </row>
        <row r="809">
          <cell r="F809">
            <v>0</v>
          </cell>
        </row>
        <row r="810">
          <cell r="F810">
            <v>0</v>
          </cell>
        </row>
        <row r="811">
          <cell r="F811">
            <v>0</v>
          </cell>
        </row>
        <row r="812">
          <cell r="F812">
            <v>0</v>
          </cell>
        </row>
        <row r="813">
          <cell r="F813">
            <v>0</v>
          </cell>
        </row>
        <row r="814">
          <cell r="F814">
            <v>0</v>
          </cell>
        </row>
        <row r="815">
          <cell r="F815">
            <v>0</v>
          </cell>
        </row>
        <row r="816">
          <cell r="F816">
            <v>0</v>
          </cell>
        </row>
        <row r="817">
          <cell r="F817">
            <v>0</v>
          </cell>
        </row>
        <row r="818">
          <cell r="F818">
            <v>0</v>
          </cell>
        </row>
        <row r="819">
          <cell r="F819">
            <v>0</v>
          </cell>
        </row>
        <row r="820">
          <cell r="F820">
            <v>0</v>
          </cell>
        </row>
        <row r="821">
          <cell r="F821">
            <v>0</v>
          </cell>
        </row>
        <row r="822">
          <cell r="F822">
            <v>0</v>
          </cell>
        </row>
        <row r="823">
          <cell r="F823">
            <v>0</v>
          </cell>
        </row>
        <row r="824">
          <cell r="F824">
            <v>0</v>
          </cell>
        </row>
        <row r="825">
          <cell r="F825">
            <v>0</v>
          </cell>
        </row>
        <row r="826">
          <cell r="F826">
            <v>0</v>
          </cell>
        </row>
        <row r="827">
          <cell r="F827">
            <v>0</v>
          </cell>
        </row>
        <row r="828">
          <cell r="F828">
            <v>0</v>
          </cell>
        </row>
        <row r="829">
          <cell r="F829">
            <v>0</v>
          </cell>
        </row>
        <row r="830">
          <cell r="F830">
            <v>0</v>
          </cell>
        </row>
        <row r="831">
          <cell r="F831">
            <v>0</v>
          </cell>
        </row>
        <row r="832">
          <cell r="F832">
            <v>0</v>
          </cell>
        </row>
        <row r="833">
          <cell r="F833">
            <v>0</v>
          </cell>
        </row>
        <row r="834">
          <cell r="F834">
            <v>0</v>
          </cell>
        </row>
        <row r="835">
          <cell r="F835">
            <v>0</v>
          </cell>
        </row>
        <row r="836">
          <cell r="F836">
            <v>0</v>
          </cell>
        </row>
        <row r="837">
          <cell r="F837">
            <v>0</v>
          </cell>
        </row>
        <row r="838">
          <cell r="F838">
            <v>0</v>
          </cell>
        </row>
        <row r="839">
          <cell r="F839">
            <v>0</v>
          </cell>
        </row>
        <row r="840">
          <cell r="F840">
            <v>0</v>
          </cell>
        </row>
        <row r="841">
          <cell r="F841">
            <v>0</v>
          </cell>
        </row>
        <row r="842">
          <cell r="F842">
            <v>0</v>
          </cell>
        </row>
        <row r="843">
          <cell r="F843">
            <v>0</v>
          </cell>
        </row>
        <row r="844">
          <cell r="F844">
            <v>0</v>
          </cell>
        </row>
        <row r="845">
          <cell r="F845">
            <v>0</v>
          </cell>
        </row>
        <row r="846">
          <cell r="F846">
            <v>0</v>
          </cell>
        </row>
        <row r="847">
          <cell r="F847">
            <v>0</v>
          </cell>
        </row>
        <row r="848">
          <cell r="F848">
            <v>0</v>
          </cell>
        </row>
        <row r="849">
          <cell r="F849">
            <v>0</v>
          </cell>
        </row>
        <row r="850">
          <cell r="F850">
            <v>0</v>
          </cell>
        </row>
        <row r="851">
          <cell r="F851">
            <v>0</v>
          </cell>
        </row>
        <row r="852">
          <cell r="F852">
            <v>0</v>
          </cell>
        </row>
        <row r="853">
          <cell r="F853">
            <v>0</v>
          </cell>
        </row>
        <row r="854">
          <cell r="F854">
            <v>0</v>
          </cell>
        </row>
        <row r="855">
          <cell r="F855">
            <v>0</v>
          </cell>
        </row>
        <row r="856">
          <cell r="F856">
            <v>0</v>
          </cell>
        </row>
        <row r="857">
          <cell r="F857">
            <v>0</v>
          </cell>
        </row>
        <row r="858">
          <cell r="F858">
            <v>0</v>
          </cell>
        </row>
        <row r="859">
          <cell r="F859">
            <v>0</v>
          </cell>
        </row>
        <row r="860">
          <cell r="F860">
            <v>0</v>
          </cell>
        </row>
        <row r="861">
          <cell r="F861">
            <v>0</v>
          </cell>
        </row>
        <row r="862">
          <cell r="F862">
            <v>0</v>
          </cell>
        </row>
        <row r="863">
          <cell r="F863">
            <v>0</v>
          </cell>
        </row>
        <row r="864">
          <cell r="F864">
            <v>0</v>
          </cell>
        </row>
        <row r="865">
          <cell r="F865">
            <v>0</v>
          </cell>
        </row>
        <row r="866">
          <cell r="F866">
            <v>0</v>
          </cell>
        </row>
        <row r="867">
          <cell r="F867">
            <v>0</v>
          </cell>
        </row>
        <row r="868">
          <cell r="F868">
            <v>0</v>
          </cell>
        </row>
        <row r="869">
          <cell r="F869">
            <v>0</v>
          </cell>
        </row>
        <row r="870">
          <cell r="F870">
            <v>0</v>
          </cell>
        </row>
        <row r="871">
          <cell r="F871">
            <v>0</v>
          </cell>
        </row>
        <row r="872">
          <cell r="F872">
            <v>0</v>
          </cell>
        </row>
        <row r="873">
          <cell r="F873">
            <v>0</v>
          </cell>
        </row>
        <row r="874">
          <cell r="F874">
            <v>0</v>
          </cell>
        </row>
        <row r="875">
          <cell r="F875">
            <v>0</v>
          </cell>
        </row>
        <row r="876">
          <cell r="F876">
            <v>0</v>
          </cell>
        </row>
        <row r="877">
          <cell r="F877">
            <v>0</v>
          </cell>
        </row>
        <row r="878">
          <cell r="F878">
            <v>0</v>
          </cell>
        </row>
        <row r="879">
          <cell r="F879">
            <v>0</v>
          </cell>
        </row>
        <row r="880">
          <cell r="F880">
            <v>0</v>
          </cell>
        </row>
        <row r="881">
          <cell r="F881">
            <v>0</v>
          </cell>
        </row>
        <row r="882">
          <cell r="F882">
            <v>0</v>
          </cell>
        </row>
        <row r="883">
          <cell r="F883">
            <v>0</v>
          </cell>
        </row>
        <row r="884">
          <cell r="F884">
            <v>0</v>
          </cell>
        </row>
        <row r="885">
          <cell r="F885">
            <v>0</v>
          </cell>
        </row>
        <row r="886">
          <cell r="F886">
            <v>0</v>
          </cell>
        </row>
        <row r="887">
          <cell r="F887">
            <v>0</v>
          </cell>
        </row>
        <row r="888">
          <cell r="F888">
            <v>0</v>
          </cell>
        </row>
        <row r="889">
          <cell r="F889">
            <v>0</v>
          </cell>
        </row>
        <row r="890">
          <cell r="F890">
            <v>0</v>
          </cell>
        </row>
        <row r="891">
          <cell r="F891">
            <v>0</v>
          </cell>
        </row>
        <row r="892">
          <cell r="F892">
            <v>0</v>
          </cell>
        </row>
        <row r="893">
          <cell r="F893">
            <v>0</v>
          </cell>
        </row>
        <row r="894">
          <cell r="F894">
            <v>0</v>
          </cell>
        </row>
        <row r="895">
          <cell r="F895">
            <v>0</v>
          </cell>
        </row>
        <row r="896">
          <cell r="F896">
            <v>0</v>
          </cell>
        </row>
        <row r="897">
          <cell r="F897">
            <v>0</v>
          </cell>
        </row>
        <row r="898">
          <cell r="F898">
            <v>0</v>
          </cell>
        </row>
        <row r="899">
          <cell r="F899">
            <v>0</v>
          </cell>
        </row>
        <row r="900">
          <cell r="F900">
            <v>0</v>
          </cell>
        </row>
        <row r="901">
          <cell r="F901">
            <v>0</v>
          </cell>
        </row>
        <row r="902">
          <cell r="F902">
            <v>0</v>
          </cell>
        </row>
        <row r="903">
          <cell r="F903">
            <v>0</v>
          </cell>
        </row>
        <row r="904">
          <cell r="F904">
            <v>0</v>
          </cell>
        </row>
        <row r="905">
          <cell r="F905">
            <v>0</v>
          </cell>
        </row>
        <row r="906">
          <cell r="F906">
            <v>0</v>
          </cell>
        </row>
        <row r="907">
          <cell r="F907">
            <v>0</v>
          </cell>
        </row>
        <row r="908">
          <cell r="F908">
            <v>0</v>
          </cell>
        </row>
        <row r="909">
          <cell r="F909">
            <v>0</v>
          </cell>
        </row>
        <row r="910">
          <cell r="F910">
            <v>0</v>
          </cell>
        </row>
        <row r="911">
          <cell r="F911">
            <v>0</v>
          </cell>
        </row>
        <row r="912">
          <cell r="F912">
            <v>0</v>
          </cell>
        </row>
        <row r="913">
          <cell r="F913">
            <v>0</v>
          </cell>
        </row>
        <row r="914">
          <cell r="F914">
            <v>0</v>
          </cell>
        </row>
        <row r="915">
          <cell r="F915">
            <v>0</v>
          </cell>
        </row>
        <row r="916">
          <cell r="F916">
            <v>0</v>
          </cell>
        </row>
        <row r="917">
          <cell r="F917">
            <v>0</v>
          </cell>
        </row>
        <row r="918">
          <cell r="F918">
            <v>0</v>
          </cell>
        </row>
        <row r="919">
          <cell r="F919">
            <v>0</v>
          </cell>
        </row>
        <row r="920">
          <cell r="F920">
            <v>0</v>
          </cell>
        </row>
        <row r="921">
          <cell r="F921">
            <v>0</v>
          </cell>
        </row>
        <row r="922">
          <cell r="F922">
            <v>0</v>
          </cell>
        </row>
        <row r="923">
          <cell r="F923">
            <v>0</v>
          </cell>
        </row>
        <row r="924">
          <cell r="F924">
            <v>0</v>
          </cell>
        </row>
        <row r="925">
          <cell r="F925">
            <v>0</v>
          </cell>
        </row>
        <row r="926">
          <cell r="F926">
            <v>0</v>
          </cell>
        </row>
        <row r="927">
          <cell r="F927">
            <v>0</v>
          </cell>
        </row>
        <row r="928">
          <cell r="F928">
            <v>0</v>
          </cell>
        </row>
        <row r="929">
          <cell r="F929">
            <v>0</v>
          </cell>
        </row>
        <row r="930">
          <cell r="F930">
            <v>0</v>
          </cell>
        </row>
        <row r="931">
          <cell r="F931">
            <v>0</v>
          </cell>
        </row>
        <row r="932">
          <cell r="F932">
            <v>0</v>
          </cell>
        </row>
        <row r="933">
          <cell r="F933">
            <v>0</v>
          </cell>
        </row>
        <row r="934">
          <cell r="F934">
            <v>0</v>
          </cell>
        </row>
        <row r="935">
          <cell r="F935">
            <v>0</v>
          </cell>
        </row>
        <row r="936">
          <cell r="F936">
            <v>0</v>
          </cell>
        </row>
        <row r="937">
          <cell r="F937">
            <v>0</v>
          </cell>
        </row>
        <row r="938">
          <cell r="F938">
            <v>0</v>
          </cell>
        </row>
        <row r="939">
          <cell r="F939">
            <v>0</v>
          </cell>
        </row>
        <row r="940">
          <cell r="F940">
            <v>0</v>
          </cell>
        </row>
        <row r="941">
          <cell r="F941">
            <v>0</v>
          </cell>
        </row>
        <row r="942">
          <cell r="F942">
            <v>0</v>
          </cell>
        </row>
        <row r="943">
          <cell r="F943">
            <v>0</v>
          </cell>
        </row>
        <row r="944">
          <cell r="F944">
            <v>0</v>
          </cell>
        </row>
        <row r="945">
          <cell r="F945">
            <v>0</v>
          </cell>
        </row>
        <row r="946">
          <cell r="F946">
            <v>0</v>
          </cell>
        </row>
        <row r="947">
          <cell r="F947">
            <v>0</v>
          </cell>
        </row>
        <row r="948">
          <cell r="F948">
            <v>0</v>
          </cell>
        </row>
        <row r="949">
          <cell r="F949">
            <v>0</v>
          </cell>
        </row>
        <row r="950">
          <cell r="F950">
            <v>0</v>
          </cell>
        </row>
        <row r="951">
          <cell r="F951">
            <v>0</v>
          </cell>
        </row>
        <row r="952">
          <cell r="F952">
            <v>0</v>
          </cell>
        </row>
        <row r="953">
          <cell r="F953">
            <v>0</v>
          </cell>
        </row>
        <row r="954">
          <cell r="F954">
            <v>0</v>
          </cell>
        </row>
        <row r="955">
          <cell r="F955">
            <v>0</v>
          </cell>
        </row>
        <row r="956">
          <cell r="F956">
            <v>0</v>
          </cell>
        </row>
        <row r="957">
          <cell r="F957">
            <v>0</v>
          </cell>
        </row>
        <row r="958">
          <cell r="F958">
            <v>0</v>
          </cell>
        </row>
        <row r="959">
          <cell r="F959">
            <v>0</v>
          </cell>
        </row>
        <row r="960">
          <cell r="F960">
            <v>0</v>
          </cell>
        </row>
        <row r="961">
          <cell r="F961">
            <v>0</v>
          </cell>
        </row>
        <row r="962">
          <cell r="F962">
            <v>0</v>
          </cell>
        </row>
        <row r="963">
          <cell r="F963">
            <v>0</v>
          </cell>
        </row>
        <row r="964">
          <cell r="F964">
            <v>0</v>
          </cell>
        </row>
        <row r="965">
          <cell r="F965">
            <v>0</v>
          </cell>
        </row>
        <row r="966">
          <cell r="F966">
            <v>0</v>
          </cell>
        </row>
        <row r="967">
          <cell r="F967">
            <v>0</v>
          </cell>
        </row>
        <row r="968">
          <cell r="F968">
            <v>0</v>
          </cell>
        </row>
        <row r="969">
          <cell r="F969">
            <v>0</v>
          </cell>
        </row>
        <row r="970">
          <cell r="F970">
            <v>0</v>
          </cell>
        </row>
        <row r="971">
          <cell r="F971">
            <v>0</v>
          </cell>
        </row>
        <row r="972">
          <cell r="F972">
            <v>0</v>
          </cell>
        </row>
        <row r="973">
          <cell r="F973">
            <v>0</v>
          </cell>
        </row>
        <row r="974">
          <cell r="F974">
            <v>0</v>
          </cell>
        </row>
        <row r="975">
          <cell r="F975">
            <v>0</v>
          </cell>
        </row>
        <row r="976">
          <cell r="F976">
            <v>0</v>
          </cell>
        </row>
        <row r="977">
          <cell r="F977">
            <v>0</v>
          </cell>
        </row>
        <row r="978">
          <cell r="F978">
            <v>0</v>
          </cell>
        </row>
        <row r="979">
          <cell r="F979">
            <v>0</v>
          </cell>
        </row>
        <row r="980">
          <cell r="F980">
            <v>0</v>
          </cell>
        </row>
        <row r="981">
          <cell r="F981">
            <v>0</v>
          </cell>
        </row>
        <row r="982">
          <cell r="F982">
            <v>0</v>
          </cell>
        </row>
        <row r="983">
          <cell r="F983">
            <v>0</v>
          </cell>
        </row>
        <row r="984">
          <cell r="F984">
            <v>0</v>
          </cell>
        </row>
        <row r="985">
          <cell r="F985">
            <v>0</v>
          </cell>
        </row>
        <row r="986">
          <cell r="F986">
            <v>0</v>
          </cell>
        </row>
        <row r="987">
          <cell r="F987">
            <v>0</v>
          </cell>
        </row>
        <row r="988">
          <cell r="F988">
            <v>0</v>
          </cell>
        </row>
        <row r="989">
          <cell r="F989">
            <v>0</v>
          </cell>
        </row>
        <row r="990">
          <cell r="F990">
            <v>0</v>
          </cell>
        </row>
        <row r="991">
          <cell r="F991">
            <v>0</v>
          </cell>
        </row>
        <row r="992">
          <cell r="F992">
            <v>0</v>
          </cell>
        </row>
        <row r="993">
          <cell r="F993">
            <v>0</v>
          </cell>
        </row>
        <row r="994">
          <cell r="F994">
            <v>0</v>
          </cell>
        </row>
        <row r="995">
          <cell r="F995">
            <v>0</v>
          </cell>
        </row>
        <row r="996">
          <cell r="F996">
            <v>0</v>
          </cell>
        </row>
        <row r="997">
          <cell r="F997">
            <v>0</v>
          </cell>
        </row>
        <row r="998">
          <cell r="F998">
            <v>0</v>
          </cell>
        </row>
        <row r="999">
          <cell r="F999">
            <v>0</v>
          </cell>
        </row>
        <row r="1000">
          <cell r="F1000">
            <v>0</v>
          </cell>
        </row>
        <row r="1001">
          <cell r="F1001">
            <v>0</v>
          </cell>
        </row>
        <row r="1002">
          <cell r="F1002">
            <v>0</v>
          </cell>
        </row>
        <row r="1003">
          <cell r="F1003">
            <v>0</v>
          </cell>
        </row>
        <row r="1004">
          <cell r="F1004">
            <v>0</v>
          </cell>
        </row>
        <row r="1005">
          <cell r="F1005">
            <v>0</v>
          </cell>
        </row>
        <row r="1006">
          <cell r="F1006">
            <v>0</v>
          </cell>
        </row>
        <row r="1007">
          <cell r="F1007">
            <v>0</v>
          </cell>
        </row>
        <row r="1008">
          <cell r="F1008">
            <v>0</v>
          </cell>
        </row>
        <row r="1009">
          <cell r="F1009">
            <v>0</v>
          </cell>
        </row>
        <row r="1010">
          <cell r="F1010">
            <v>0</v>
          </cell>
        </row>
        <row r="1011">
          <cell r="F1011">
            <v>0</v>
          </cell>
        </row>
        <row r="1012">
          <cell r="F1012">
            <v>0</v>
          </cell>
        </row>
        <row r="1013">
          <cell r="F1013">
            <v>0</v>
          </cell>
        </row>
        <row r="1014">
          <cell r="F1014">
            <v>0</v>
          </cell>
        </row>
        <row r="1015">
          <cell r="F1015">
            <v>0</v>
          </cell>
        </row>
        <row r="1016">
          <cell r="F1016">
            <v>0</v>
          </cell>
        </row>
        <row r="1017">
          <cell r="F1017">
            <v>0</v>
          </cell>
        </row>
        <row r="1018">
          <cell r="F1018">
            <v>0</v>
          </cell>
        </row>
        <row r="1019">
          <cell r="F1019">
            <v>0</v>
          </cell>
        </row>
        <row r="1020">
          <cell r="F1020">
            <v>0</v>
          </cell>
        </row>
        <row r="1021">
          <cell r="F1021">
            <v>0</v>
          </cell>
        </row>
        <row r="1022">
          <cell r="F1022">
            <v>0</v>
          </cell>
        </row>
        <row r="1023">
          <cell r="F1023">
            <v>0</v>
          </cell>
        </row>
        <row r="1024">
          <cell r="F1024">
            <v>0</v>
          </cell>
        </row>
        <row r="1025">
          <cell r="F1025">
            <v>0</v>
          </cell>
        </row>
        <row r="1026">
          <cell r="F1026">
            <v>0</v>
          </cell>
        </row>
        <row r="1027">
          <cell r="F1027">
            <v>0</v>
          </cell>
        </row>
        <row r="1028">
          <cell r="F1028">
            <v>0</v>
          </cell>
        </row>
        <row r="1029">
          <cell r="F1029">
            <v>0</v>
          </cell>
        </row>
        <row r="1030">
          <cell r="F1030">
            <v>0</v>
          </cell>
        </row>
        <row r="1031">
          <cell r="F1031">
            <v>0</v>
          </cell>
        </row>
        <row r="1032">
          <cell r="F1032">
            <v>0</v>
          </cell>
        </row>
        <row r="1033">
          <cell r="F1033">
            <v>0</v>
          </cell>
        </row>
        <row r="1034">
          <cell r="F1034">
            <v>0</v>
          </cell>
        </row>
        <row r="1035">
          <cell r="F1035">
            <v>0</v>
          </cell>
        </row>
        <row r="1036">
          <cell r="F1036">
            <v>0</v>
          </cell>
        </row>
        <row r="1037">
          <cell r="F1037">
            <v>0</v>
          </cell>
        </row>
        <row r="1038">
          <cell r="F1038">
            <v>0</v>
          </cell>
        </row>
        <row r="1039">
          <cell r="F1039">
            <v>0</v>
          </cell>
        </row>
        <row r="1040">
          <cell r="F1040">
            <v>0</v>
          </cell>
        </row>
        <row r="1041">
          <cell r="F1041">
            <v>0</v>
          </cell>
        </row>
        <row r="1042">
          <cell r="F1042">
            <v>0</v>
          </cell>
        </row>
        <row r="1043">
          <cell r="F1043">
            <v>0</v>
          </cell>
        </row>
        <row r="1044">
          <cell r="F1044">
            <v>0</v>
          </cell>
        </row>
        <row r="1045">
          <cell r="F1045">
            <v>0</v>
          </cell>
        </row>
        <row r="1046">
          <cell r="F1046">
            <v>0</v>
          </cell>
        </row>
        <row r="1047">
          <cell r="F1047">
            <v>0</v>
          </cell>
        </row>
        <row r="1048">
          <cell r="F1048">
            <v>0</v>
          </cell>
        </row>
        <row r="1049">
          <cell r="F1049">
            <v>0</v>
          </cell>
        </row>
        <row r="1050">
          <cell r="F1050">
            <v>0</v>
          </cell>
        </row>
        <row r="1051">
          <cell r="F1051">
            <v>0</v>
          </cell>
        </row>
        <row r="1052">
          <cell r="F1052">
            <v>0</v>
          </cell>
        </row>
        <row r="1053">
          <cell r="F1053">
            <v>0</v>
          </cell>
        </row>
        <row r="1054">
          <cell r="F1054">
            <v>0</v>
          </cell>
        </row>
        <row r="1055">
          <cell r="F1055">
            <v>0</v>
          </cell>
        </row>
        <row r="1056">
          <cell r="F1056">
            <v>0</v>
          </cell>
        </row>
        <row r="1057">
          <cell r="F1057">
            <v>0</v>
          </cell>
        </row>
        <row r="1058">
          <cell r="F1058">
            <v>0</v>
          </cell>
        </row>
        <row r="1059">
          <cell r="F1059">
            <v>0</v>
          </cell>
        </row>
        <row r="1060">
          <cell r="F1060">
            <v>0</v>
          </cell>
        </row>
        <row r="1061">
          <cell r="F1061">
            <v>0</v>
          </cell>
        </row>
        <row r="1062">
          <cell r="F1062">
            <v>0</v>
          </cell>
        </row>
        <row r="1063">
          <cell r="F1063">
            <v>0</v>
          </cell>
        </row>
        <row r="1064">
          <cell r="F1064">
            <v>0</v>
          </cell>
        </row>
        <row r="1065">
          <cell r="F1065">
            <v>0</v>
          </cell>
        </row>
        <row r="1066">
          <cell r="F1066">
            <v>0</v>
          </cell>
        </row>
        <row r="1067">
          <cell r="F1067">
            <v>0</v>
          </cell>
        </row>
        <row r="1068">
          <cell r="F1068">
            <v>0</v>
          </cell>
        </row>
        <row r="1069">
          <cell r="F1069">
            <v>0</v>
          </cell>
        </row>
        <row r="1070">
          <cell r="F1070">
            <v>0</v>
          </cell>
        </row>
        <row r="1071">
          <cell r="F1071">
            <v>0</v>
          </cell>
        </row>
        <row r="1072">
          <cell r="F1072">
            <v>0</v>
          </cell>
        </row>
        <row r="1073">
          <cell r="F1073">
            <v>0</v>
          </cell>
        </row>
        <row r="1074">
          <cell r="F1074">
            <v>0</v>
          </cell>
        </row>
        <row r="1075">
          <cell r="F1075">
            <v>0</v>
          </cell>
        </row>
        <row r="1076">
          <cell r="F1076">
            <v>0</v>
          </cell>
        </row>
        <row r="1077">
          <cell r="F1077">
            <v>0</v>
          </cell>
        </row>
        <row r="1078">
          <cell r="F1078">
            <v>0</v>
          </cell>
        </row>
        <row r="1079">
          <cell r="F1079">
            <v>0</v>
          </cell>
        </row>
        <row r="1080">
          <cell r="F1080">
            <v>0</v>
          </cell>
        </row>
        <row r="1081">
          <cell r="F1081">
            <v>0</v>
          </cell>
        </row>
        <row r="1082">
          <cell r="F1082">
            <v>0</v>
          </cell>
        </row>
        <row r="1083">
          <cell r="F1083">
            <v>0</v>
          </cell>
        </row>
        <row r="1084">
          <cell r="F1084">
            <v>0</v>
          </cell>
        </row>
        <row r="1085">
          <cell r="F1085">
            <v>0</v>
          </cell>
        </row>
        <row r="1086">
          <cell r="F1086">
            <v>0</v>
          </cell>
        </row>
        <row r="1087">
          <cell r="F1087">
            <v>0</v>
          </cell>
        </row>
        <row r="1088">
          <cell r="F1088">
            <v>0</v>
          </cell>
        </row>
        <row r="1089">
          <cell r="F1089">
            <v>0</v>
          </cell>
        </row>
        <row r="1090">
          <cell r="F1090">
            <v>0</v>
          </cell>
        </row>
        <row r="1091">
          <cell r="F1091">
            <v>0</v>
          </cell>
        </row>
        <row r="1092">
          <cell r="F1092">
            <v>0</v>
          </cell>
        </row>
        <row r="1093">
          <cell r="F1093">
            <v>0</v>
          </cell>
        </row>
        <row r="1094">
          <cell r="F1094">
            <v>0</v>
          </cell>
        </row>
        <row r="1095">
          <cell r="F1095">
            <v>0</v>
          </cell>
        </row>
        <row r="1096">
          <cell r="F1096">
            <v>0</v>
          </cell>
        </row>
        <row r="1097">
          <cell r="F1097">
            <v>0</v>
          </cell>
        </row>
        <row r="1098">
          <cell r="F1098">
            <v>0</v>
          </cell>
        </row>
        <row r="1099">
          <cell r="F1099">
            <v>0</v>
          </cell>
        </row>
        <row r="1100">
          <cell r="F1100">
            <v>0</v>
          </cell>
        </row>
        <row r="1101">
          <cell r="F1101">
            <v>0</v>
          </cell>
        </row>
        <row r="1102">
          <cell r="F1102">
            <v>0</v>
          </cell>
        </row>
        <row r="1103">
          <cell r="F1103">
            <v>0</v>
          </cell>
        </row>
        <row r="1104">
          <cell r="F1104">
            <v>0</v>
          </cell>
        </row>
        <row r="1105">
          <cell r="F1105">
            <v>0</v>
          </cell>
        </row>
        <row r="1106">
          <cell r="F1106">
            <v>0</v>
          </cell>
        </row>
        <row r="1107">
          <cell r="F1107">
            <v>0</v>
          </cell>
        </row>
        <row r="1108">
          <cell r="F1108">
            <v>0</v>
          </cell>
        </row>
        <row r="1109">
          <cell r="F1109">
            <v>0</v>
          </cell>
        </row>
        <row r="1110">
          <cell r="F1110">
            <v>0</v>
          </cell>
        </row>
        <row r="1111">
          <cell r="F1111">
            <v>0</v>
          </cell>
        </row>
        <row r="1112">
          <cell r="F1112">
            <v>0</v>
          </cell>
        </row>
        <row r="1113">
          <cell r="F1113">
            <v>0</v>
          </cell>
        </row>
        <row r="1114">
          <cell r="F1114">
            <v>0</v>
          </cell>
        </row>
        <row r="1115">
          <cell r="F1115">
            <v>0</v>
          </cell>
        </row>
        <row r="1116">
          <cell r="F1116">
            <v>0</v>
          </cell>
        </row>
        <row r="1117">
          <cell r="F1117">
            <v>0</v>
          </cell>
        </row>
        <row r="1118">
          <cell r="F1118">
            <v>0</v>
          </cell>
        </row>
        <row r="1119">
          <cell r="F1119">
            <v>0</v>
          </cell>
        </row>
        <row r="1120">
          <cell r="F1120">
            <v>0</v>
          </cell>
        </row>
        <row r="1121">
          <cell r="F1121">
            <v>0</v>
          </cell>
        </row>
        <row r="1122">
          <cell r="F1122">
            <v>0</v>
          </cell>
        </row>
        <row r="1123">
          <cell r="F1123">
            <v>0</v>
          </cell>
        </row>
        <row r="1124">
          <cell r="F1124">
            <v>0</v>
          </cell>
        </row>
        <row r="1125">
          <cell r="F1125">
            <v>0</v>
          </cell>
        </row>
        <row r="1126">
          <cell r="F1126">
            <v>0</v>
          </cell>
        </row>
        <row r="1127">
          <cell r="F1127">
            <v>0</v>
          </cell>
        </row>
        <row r="1128">
          <cell r="F1128">
            <v>0</v>
          </cell>
        </row>
        <row r="1129">
          <cell r="F1129">
            <v>0</v>
          </cell>
        </row>
        <row r="1130">
          <cell r="F1130">
            <v>0</v>
          </cell>
        </row>
        <row r="1131">
          <cell r="F1131">
            <v>0</v>
          </cell>
        </row>
        <row r="1132">
          <cell r="F1132">
            <v>0</v>
          </cell>
        </row>
        <row r="1133">
          <cell r="F1133">
            <v>0</v>
          </cell>
        </row>
        <row r="1134">
          <cell r="F1134">
            <v>0</v>
          </cell>
        </row>
        <row r="1135">
          <cell r="F1135">
            <v>0</v>
          </cell>
        </row>
        <row r="1136">
          <cell r="F1136">
            <v>0</v>
          </cell>
        </row>
        <row r="1137">
          <cell r="F1137">
            <v>0</v>
          </cell>
        </row>
        <row r="1138">
          <cell r="F1138">
            <v>0</v>
          </cell>
        </row>
        <row r="1139">
          <cell r="F1139">
            <v>0</v>
          </cell>
        </row>
        <row r="1140">
          <cell r="F1140">
            <v>0</v>
          </cell>
        </row>
        <row r="1141">
          <cell r="F1141">
            <v>0</v>
          </cell>
        </row>
        <row r="1142">
          <cell r="F1142">
            <v>0</v>
          </cell>
        </row>
        <row r="1143">
          <cell r="F1143">
            <v>0</v>
          </cell>
        </row>
        <row r="1144">
          <cell r="F1144">
            <v>0</v>
          </cell>
        </row>
        <row r="1145">
          <cell r="F1145">
            <v>0</v>
          </cell>
        </row>
        <row r="1146">
          <cell r="F1146">
            <v>0</v>
          </cell>
        </row>
        <row r="1147">
          <cell r="F1147">
            <v>0</v>
          </cell>
        </row>
        <row r="1148">
          <cell r="F1148">
            <v>0</v>
          </cell>
        </row>
        <row r="1149">
          <cell r="F1149">
            <v>0</v>
          </cell>
        </row>
        <row r="1150">
          <cell r="F1150">
            <v>0</v>
          </cell>
        </row>
        <row r="1151">
          <cell r="F1151">
            <v>0</v>
          </cell>
        </row>
        <row r="1152">
          <cell r="F1152">
            <v>0</v>
          </cell>
        </row>
        <row r="1153">
          <cell r="F1153">
            <v>0</v>
          </cell>
        </row>
        <row r="1154">
          <cell r="F1154">
            <v>0</v>
          </cell>
        </row>
        <row r="1155">
          <cell r="F1155">
            <v>0</v>
          </cell>
        </row>
        <row r="1156">
          <cell r="F1156">
            <v>0</v>
          </cell>
        </row>
        <row r="1157">
          <cell r="F1157">
            <v>0</v>
          </cell>
        </row>
        <row r="1158">
          <cell r="F1158">
            <v>0</v>
          </cell>
        </row>
        <row r="1159">
          <cell r="F1159">
            <v>0</v>
          </cell>
        </row>
        <row r="1160">
          <cell r="F1160">
            <v>0</v>
          </cell>
        </row>
        <row r="1161">
          <cell r="F1161">
            <v>0</v>
          </cell>
        </row>
        <row r="1162">
          <cell r="F1162">
            <v>0</v>
          </cell>
        </row>
        <row r="1163">
          <cell r="F1163">
            <v>0</v>
          </cell>
        </row>
        <row r="1164">
          <cell r="F1164">
            <v>0</v>
          </cell>
        </row>
        <row r="1165">
          <cell r="F1165">
            <v>0</v>
          </cell>
        </row>
        <row r="1166">
          <cell r="F1166">
            <v>0</v>
          </cell>
        </row>
        <row r="1167">
          <cell r="F1167">
            <v>0</v>
          </cell>
        </row>
        <row r="1168">
          <cell r="F1168">
            <v>0</v>
          </cell>
        </row>
        <row r="1169">
          <cell r="F1169">
            <v>0</v>
          </cell>
        </row>
        <row r="1170">
          <cell r="F1170">
            <v>0</v>
          </cell>
        </row>
        <row r="1171">
          <cell r="F1171">
            <v>0</v>
          </cell>
        </row>
        <row r="1172">
          <cell r="F1172">
            <v>0</v>
          </cell>
        </row>
        <row r="1173">
          <cell r="F1173">
            <v>0</v>
          </cell>
        </row>
        <row r="1174">
          <cell r="F1174">
            <v>0</v>
          </cell>
        </row>
        <row r="1175">
          <cell r="F1175">
            <v>0</v>
          </cell>
        </row>
        <row r="1176">
          <cell r="F1176">
            <v>0</v>
          </cell>
        </row>
        <row r="1177">
          <cell r="F1177">
            <v>0</v>
          </cell>
        </row>
        <row r="1178">
          <cell r="F1178">
            <v>0</v>
          </cell>
        </row>
        <row r="1179">
          <cell r="F1179">
            <v>0</v>
          </cell>
        </row>
        <row r="1180">
          <cell r="F1180">
            <v>0</v>
          </cell>
        </row>
        <row r="1181">
          <cell r="F1181">
            <v>0</v>
          </cell>
        </row>
        <row r="1182">
          <cell r="F1182">
            <v>0</v>
          </cell>
        </row>
        <row r="1183">
          <cell r="F1183">
            <v>0</v>
          </cell>
        </row>
        <row r="1184">
          <cell r="F1184">
            <v>0</v>
          </cell>
        </row>
        <row r="1185">
          <cell r="F1185">
            <v>0</v>
          </cell>
        </row>
        <row r="1186">
          <cell r="F1186">
            <v>0</v>
          </cell>
        </row>
        <row r="1187">
          <cell r="F1187">
            <v>0</v>
          </cell>
        </row>
        <row r="1188">
          <cell r="F1188">
            <v>0</v>
          </cell>
        </row>
        <row r="1189">
          <cell r="F1189">
            <v>0</v>
          </cell>
        </row>
        <row r="1190">
          <cell r="F1190">
            <v>0</v>
          </cell>
        </row>
        <row r="1191">
          <cell r="F1191">
            <v>0</v>
          </cell>
        </row>
        <row r="1192">
          <cell r="F1192">
            <v>0</v>
          </cell>
        </row>
        <row r="1193">
          <cell r="F1193">
            <v>0</v>
          </cell>
        </row>
        <row r="1194">
          <cell r="F1194">
            <v>0</v>
          </cell>
        </row>
        <row r="1195">
          <cell r="F1195">
            <v>0</v>
          </cell>
        </row>
        <row r="1196">
          <cell r="F1196">
            <v>0</v>
          </cell>
        </row>
        <row r="1197">
          <cell r="F1197">
            <v>0</v>
          </cell>
        </row>
        <row r="1198">
          <cell r="F1198">
            <v>0</v>
          </cell>
        </row>
        <row r="1199">
          <cell r="F1199">
            <v>0</v>
          </cell>
        </row>
        <row r="1200">
          <cell r="F1200">
            <v>0</v>
          </cell>
        </row>
        <row r="1201">
          <cell r="F1201">
            <v>0</v>
          </cell>
        </row>
        <row r="1202">
          <cell r="F1202">
            <v>0</v>
          </cell>
        </row>
        <row r="1203">
          <cell r="F1203">
            <v>0</v>
          </cell>
        </row>
        <row r="1204">
          <cell r="F1204">
            <v>0</v>
          </cell>
        </row>
        <row r="1205">
          <cell r="F1205">
            <v>0</v>
          </cell>
        </row>
        <row r="1206">
          <cell r="F1206">
            <v>0</v>
          </cell>
        </row>
        <row r="1207">
          <cell r="F1207">
            <v>0</v>
          </cell>
        </row>
        <row r="1208">
          <cell r="F1208">
            <v>0</v>
          </cell>
        </row>
        <row r="1209">
          <cell r="F1209">
            <v>0</v>
          </cell>
        </row>
        <row r="1210">
          <cell r="F1210">
            <v>0</v>
          </cell>
        </row>
        <row r="1211">
          <cell r="F1211">
            <v>0</v>
          </cell>
        </row>
        <row r="1212">
          <cell r="F1212">
            <v>0</v>
          </cell>
        </row>
        <row r="1213">
          <cell r="F1213">
            <v>0</v>
          </cell>
        </row>
        <row r="1214">
          <cell r="F1214">
            <v>0</v>
          </cell>
        </row>
        <row r="1215">
          <cell r="F1215">
            <v>0</v>
          </cell>
        </row>
        <row r="1216">
          <cell r="F1216">
            <v>0</v>
          </cell>
        </row>
        <row r="1217">
          <cell r="F1217">
            <v>0</v>
          </cell>
        </row>
        <row r="1218">
          <cell r="F1218">
            <v>0</v>
          </cell>
        </row>
        <row r="1219">
          <cell r="F1219">
            <v>0</v>
          </cell>
        </row>
        <row r="1220">
          <cell r="F1220">
            <v>0</v>
          </cell>
        </row>
        <row r="1221">
          <cell r="F1221">
            <v>0</v>
          </cell>
        </row>
        <row r="1222">
          <cell r="F1222">
            <v>0</v>
          </cell>
        </row>
        <row r="1223">
          <cell r="F1223">
            <v>0</v>
          </cell>
        </row>
        <row r="1224">
          <cell r="F1224">
            <v>0</v>
          </cell>
        </row>
        <row r="1225">
          <cell r="F1225">
            <v>0</v>
          </cell>
        </row>
        <row r="1226">
          <cell r="F1226">
            <v>0</v>
          </cell>
        </row>
        <row r="1227">
          <cell r="F1227">
            <v>0</v>
          </cell>
        </row>
        <row r="1228">
          <cell r="F1228">
            <v>0</v>
          </cell>
        </row>
        <row r="1229">
          <cell r="F1229">
            <v>0</v>
          </cell>
        </row>
        <row r="1230">
          <cell r="F1230">
            <v>0</v>
          </cell>
        </row>
        <row r="1231">
          <cell r="F1231">
            <v>0</v>
          </cell>
        </row>
        <row r="1232">
          <cell r="F1232">
            <v>0</v>
          </cell>
        </row>
        <row r="1233">
          <cell r="F1233">
            <v>0</v>
          </cell>
        </row>
        <row r="1234">
          <cell r="F1234">
            <v>0</v>
          </cell>
        </row>
        <row r="1235">
          <cell r="F1235">
            <v>0</v>
          </cell>
        </row>
        <row r="1236">
          <cell r="F1236">
            <v>0</v>
          </cell>
        </row>
        <row r="1237">
          <cell r="F1237">
            <v>0</v>
          </cell>
        </row>
        <row r="1238">
          <cell r="F1238">
            <v>0</v>
          </cell>
        </row>
        <row r="1239">
          <cell r="F1239">
            <v>0</v>
          </cell>
        </row>
        <row r="1240">
          <cell r="F1240">
            <v>0</v>
          </cell>
        </row>
        <row r="1241">
          <cell r="F1241">
            <v>0</v>
          </cell>
        </row>
        <row r="1242">
          <cell r="F1242">
            <v>0</v>
          </cell>
        </row>
        <row r="1243">
          <cell r="F1243">
            <v>0</v>
          </cell>
        </row>
        <row r="1244">
          <cell r="F1244">
            <v>0</v>
          </cell>
        </row>
        <row r="1245">
          <cell r="F1245">
            <v>0</v>
          </cell>
        </row>
        <row r="1246">
          <cell r="F1246">
            <v>0</v>
          </cell>
        </row>
        <row r="1247">
          <cell r="F1247">
            <v>0</v>
          </cell>
        </row>
        <row r="1248">
          <cell r="F1248">
            <v>0</v>
          </cell>
        </row>
        <row r="1249">
          <cell r="F1249">
            <v>0</v>
          </cell>
        </row>
        <row r="1250">
          <cell r="F1250">
            <v>0</v>
          </cell>
        </row>
        <row r="1251">
          <cell r="F1251">
            <v>0</v>
          </cell>
        </row>
        <row r="1252">
          <cell r="F1252">
            <v>0</v>
          </cell>
        </row>
        <row r="1253">
          <cell r="F1253">
            <v>0</v>
          </cell>
        </row>
        <row r="1254">
          <cell r="F1254">
            <v>0</v>
          </cell>
        </row>
        <row r="1255">
          <cell r="F1255">
            <v>0</v>
          </cell>
        </row>
        <row r="1256">
          <cell r="F1256">
            <v>0</v>
          </cell>
        </row>
        <row r="1257">
          <cell r="F1257">
            <v>0</v>
          </cell>
        </row>
        <row r="1258">
          <cell r="F1258">
            <v>0</v>
          </cell>
        </row>
        <row r="1259">
          <cell r="F1259">
            <v>0</v>
          </cell>
        </row>
        <row r="1260">
          <cell r="F1260">
            <v>0</v>
          </cell>
        </row>
        <row r="1261">
          <cell r="F1261">
            <v>0</v>
          </cell>
        </row>
        <row r="1262">
          <cell r="F1262">
            <v>0</v>
          </cell>
        </row>
        <row r="1263">
          <cell r="F1263">
            <v>0</v>
          </cell>
        </row>
        <row r="1264">
          <cell r="F1264">
            <v>0</v>
          </cell>
        </row>
        <row r="1265">
          <cell r="F1265">
            <v>0</v>
          </cell>
        </row>
        <row r="1266">
          <cell r="F1266">
            <v>0</v>
          </cell>
        </row>
        <row r="1267">
          <cell r="F1267">
            <v>0</v>
          </cell>
        </row>
        <row r="1268">
          <cell r="F1268">
            <v>0</v>
          </cell>
        </row>
        <row r="1269">
          <cell r="F1269">
            <v>0</v>
          </cell>
        </row>
        <row r="1270">
          <cell r="F1270">
            <v>0</v>
          </cell>
        </row>
        <row r="1271">
          <cell r="F1271">
            <v>0</v>
          </cell>
        </row>
        <row r="1272">
          <cell r="F1272">
            <v>0</v>
          </cell>
        </row>
        <row r="1273">
          <cell r="F1273">
            <v>0</v>
          </cell>
        </row>
        <row r="1274">
          <cell r="F1274">
            <v>0</v>
          </cell>
        </row>
        <row r="1275">
          <cell r="F1275">
            <v>0</v>
          </cell>
        </row>
        <row r="1276">
          <cell r="F1276">
            <v>0</v>
          </cell>
        </row>
        <row r="1277">
          <cell r="F1277">
            <v>0</v>
          </cell>
        </row>
        <row r="1278">
          <cell r="F1278">
            <v>0</v>
          </cell>
        </row>
        <row r="1279">
          <cell r="F1279">
            <v>0</v>
          </cell>
        </row>
        <row r="1280">
          <cell r="F1280">
            <v>0</v>
          </cell>
        </row>
        <row r="1281">
          <cell r="F1281">
            <v>0</v>
          </cell>
        </row>
        <row r="1282">
          <cell r="F1282">
            <v>0</v>
          </cell>
        </row>
        <row r="1283">
          <cell r="F1283">
            <v>0</v>
          </cell>
        </row>
        <row r="1284">
          <cell r="F1284">
            <v>0</v>
          </cell>
        </row>
        <row r="1285">
          <cell r="F1285">
            <v>0</v>
          </cell>
        </row>
        <row r="1286">
          <cell r="F1286">
            <v>0</v>
          </cell>
        </row>
        <row r="1287">
          <cell r="F1287">
            <v>0</v>
          </cell>
        </row>
        <row r="1288">
          <cell r="F1288">
            <v>0</v>
          </cell>
        </row>
        <row r="1289">
          <cell r="F1289">
            <v>0</v>
          </cell>
        </row>
        <row r="1290">
          <cell r="F1290">
            <v>0</v>
          </cell>
        </row>
        <row r="1291">
          <cell r="F1291">
            <v>0</v>
          </cell>
        </row>
        <row r="1292">
          <cell r="F1292">
            <v>0</v>
          </cell>
        </row>
        <row r="1293">
          <cell r="F1293">
            <v>0</v>
          </cell>
        </row>
        <row r="1294">
          <cell r="F1294">
            <v>0</v>
          </cell>
        </row>
        <row r="1295">
          <cell r="F1295">
            <v>0</v>
          </cell>
        </row>
        <row r="1296">
          <cell r="F1296">
            <v>0</v>
          </cell>
        </row>
        <row r="1297">
          <cell r="F1297">
            <v>0</v>
          </cell>
        </row>
        <row r="1298">
          <cell r="F1298">
            <v>0</v>
          </cell>
        </row>
        <row r="1299">
          <cell r="F1299">
            <v>0</v>
          </cell>
        </row>
        <row r="1300">
          <cell r="F1300">
            <v>0</v>
          </cell>
        </row>
        <row r="1301">
          <cell r="F1301">
            <v>0</v>
          </cell>
        </row>
        <row r="1302">
          <cell r="F1302">
            <v>0</v>
          </cell>
        </row>
        <row r="1303">
          <cell r="F1303">
            <v>0</v>
          </cell>
        </row>
        <row r="1304">
          <cell r="F1304">
            <v>0</v>
          </cell>
        </row>
        <row r="1305">
          <cell r="F1305">
            <v>0</v>
          </cell>
        </row>
        <row r="1306">
          <cell r="F1306">
            <v>0</v>
          </cell>
        </row>
        <row r="1307">
          <cell r="F1307">
            <v>0</v>
          </cell>
        </row>
        <row r="1308">
          <cell r="F1308">
            <v>0</v>
          </cell>
        </row>
        <row r="1309">
          <cell r="F1309">
            <v>0</v>
          </cell>
        </row>
        <row r="1310">
          <cell r="F1310">
            <v>0</v>
          </cell>
        </row>
        <row r="1311">
          <cell r="F1311">
            <v>0</v>
          </cell>
        </row>
        <row r="1312">
          <cell r="F1312">
            <v>0</v>
          </cell>
        </row>
        <row r="1313">
          <cell r="F1313">
            <v>0</v>
          </cell>
        </row>
        <row r="1314">
          <cell r="F1314">
            <v>0</v>
          </cell>
        </row>
        <row r="1315">
          <cell r="F1315">
            <v>0</v>
          </cell>
        </row>
        <row r="1316">
          <cell r="F1316">
            <v>0</v>
          </cell>
        </row>
        <row r="1317">
          <cell r="F1317">
            <v>0</v>
          </cell>
        </row>
        <row r="1318">
          <cell r="F1318">
            <v>0</v>
          </cell>
        </row>
        <row r="1319">
          <cell r="F1319">
            <v>0</v>
          </cell>
        </row>
        <row r="1320">
          <cell r="F1320">
            <v>0</v>
          </cell>
        </row>
        <row r="1321">
          <cell r="F1321">
            <v>0</v>
          </cell>
        </row>
        <row r="1322">
          <cell r="F1322">
            <v>0</v>
          </cell>
        </row>
        <row r="1323">
          <cell r="F1323">
            <v>0</v>
          </cell>
        </row>
        <row r="1324">
          <cell r="F1324">
            <v>0</v>
          </cell>
        </row>
        <row r="1325">
          <cell r="F1325">
            <v>0</v>
          </cell>
        </row>
        <row r="1326">
          <cell r="F1326">
            <v>0</v>
          </cell>
        </row>
        <row r="1327">
          <cell r="F1327">
            <v>0</v>
          </cell>
        </row>
        <row r="1328">
          <cell r="F1328">
            <v>0</v>
          </cell>
        </row>
        <row r="1329">
          <cell r="F1329">
            <v>0</v>
          </cell>
        </row>
        <row r="1330">
          <cell r="F1330">
            <v>0</v>
          </cell>
        </row>
        <row r="1331">
          <cell r="F1331">
            <v>0</v>
          </cell>
        </row>
        <row r="1332">
          <cell r="F1332">
            <v>0</v>
          </cell>
        </row>
        <row r="1333">
          <cell r="F1333">
            <v>0</v>
          </cell>
        </row>
        <row r="1334">
          <cell r="F1334">
            <v>0</v>
          </cell>
        </row>
        <row r="1335">
          <cell r="F1335">
            <v>0</v>
          </cell>
        </row>
        <row r="1336">
          <cell r="F1336">
            <v>0</v>
          </cell>
        </row>
        <row r="1337">
          <cell r="F1337">
            <v>0</v>
          </cell>
        </row>
        <row r="1338">
          <cell r="F1338">
            <v>0</v>
          </cell>
        </row>
        <row r="1339">
          <cell r="F1339">
            <v>0</v>
          </cell>
        </row>
        <row r="1340">
          <cell r="F1340">
            <v>0</v>
          </cell>
        </row>
        <row r="1341">
          <cell r="F1341">
            <v>0</v>
          </cell>
        </row>
        <row r="1342">
          <cell r="F1342">
            <v>0</v>
          </cell>
        </row>
        <row r="1343">
          <cell r="F1343">
            <v>0</v>
          </cell>
        </row>
        <row r="1344">
          <cell r="F1344">
            <v>0</v>
          </cell>
        </row>
        <row r="1345">
          <cell r="F1345">
            <v>0</v>
          </cell>
        </row>
        <row r="1346">
          <cell r="F1346">
            <v>0</v>
          </cell>
        </row>
        <row r="1347">
          <cell r="F1347">
            <v>0</v>
          </cell>
        </row>
        <row r="1348">
          <cell r="F1348">
            <v>0</v>
          </cell>
        </row>
        <row r="1349">
          <cell r="F1349">
            <v>0</v>
          </cell>
        </row>
        <row r="1350">
          <cell r="F1350">
            <v>0</v>
          </cell>
        </row>
        <row r="1351">
          <cell r="F1351">
            <v>0</v>
          </cell>
        </row>
        <row r="1352">
          <cell r="F1352">
            <v>0</v>
          </cell>
        </row>
        <row r="1353">
          <cell r="F1353">
            <v>0</v>
          </cell>
        </row>
        <row r="1354">
          <cell r="F1354">
            <v>0</v>
          </cell>
        </row>
        <row r="1355">
          <cell r="F1355">
            <v>0</v>
          </cell>
        </row>
        <row r="1356">
          <cell r="F1356">
            <v>0</v>
          </cell>
        </row>
        <row r="1357">
          <cell r="F1357">
            <v>0</v>
          </cell>
        </row>
        <row r="1358">
          <cell r="F1358">
            <v>0</v>
          </cell>
        </row>
        <row r="1359">
          <cell r="F1359">
            <v>0</v>
          </cell>
        </row>
        <row r="1360">
          <cell r="F1360">
            <v>0</v>
          </cell>
        </row>
        <row r="1361">
          <cell r="F1361">
            <v>0</v>
          </cell>
        </row>
        <row r="1362">
          <cell r="F1362">
            <v>0</v>
          </cell>
        </row>
        <row r="1363">
          <cell r="F1363">
            <v>0</v>
          </cell>
        </row>
        <row r="1364">
          <cell r="F1364">
            <v>0</v>
          </cell>
        </row>
        <row r="1365">
          <cell r="F1365">
            <v>0</v>
          </cell>
        </row>
        <row r="1366">
          <cell r="F1366">
            <v>0</v>
          </cell>
        </row>
        <row r="1367">
          <cell r="F1367">
            <v>0</v>
          </cell>
        </row>
        <row r="1368">
          <cell r="F1368">
            <v>0</v>
          </cell>
        </row>
        <row r="1369">
          <cell r="F1369">
            <v>0</v>
          </cell>
        </row>
        <row r="1370">
          <cell r="F1370">
            <v>0</v>
          </cell>
        </row>
        <row r="1371">
          <cell r="F1371">
            <v>0</v>
          </cell>
        </row>
        <row r="1372">
          <cell r="F1372">
            <v>0</v>
          </cell>
        </row>
        <row r="1373">
          <cell r="F1373">
            <v>0</v>
          </cell>
        </row>
        <row r="1374">
          <cell r="F1374">
            <v>0</v>
          </cell>
        </row>
        <row r="1375">
          <cell r="F1375">
            <v>0</v>
          </cell>
        </row>
        <row r="1376">
          <cell r="F1376">
            <v>0</v>
          </cell>
        </row>
        <row r="1377">
          <cell r="F1377">
            <v>0</v>
          </cell>
        </row>
        <row r="1378">
          <cell r="F1378">
            <v>0</v>
          </cell>
        </row>
        <row r="1379">
          <cell r="F1379">
            <v>0</v>
          </cell>
        </row>
        <row r="1380">
          <cell r="F1380">
            <v>0</v>
          </cell>
        </row>
        <row r="1381">
          <cell r="F1381">
            <v>0</v>
          </cell>
        </row>
        <row r="1382">
          <cell r="F1382">
            <v>0</v>
          </cell>
        </row>
        <row r="1383">
          <cell r="F1383">
            <v>0</v>
          </cell>
        </row>
        <row r="1384">
          <cell r="F1384">
            <v>0</v>
          </cell>
        </row>
        <row r="1385">
          <cell r="F1385">
            <v>0</v>
          </cell>
        </row>
        <row r="1386">
          <cell r="F1386">
            <v>0</v>
          </cell>
        </row>
        <row r="1387">
          <cell r="F1387">
            <v>0</v>
          </cell>
        </row>
        <row r="1388">
          <cell r="F1388">
            <v>0</v>
          </cell>
        </row>
        <row r="1389">
          <cell r="F1389">
            <v>0</v>
          </cell>
        </row>
        <row r="1390">
          <cell r="F1390">
            <v>0</v>
          </cell>
        </row>
        <row r="1391">
          <cell r="F1391">
            <v>0</v>
          </cell>
        </row>
        <row r="1392">
          <cell r="F1392">
            <v>0</v>
          </cell>
        </row>
        <row r="1393">
          <cell r="F1393">
            <v>0</v>
          </cell>
        </row>
        <row r="1394">
          <cell r="F1394">
            <v>0</v>
          </cell>
        </row>
        <row r="1395">
          <cell r="F1395">
            <v>0</v>
          </cell>
        </row>
        <row r="1396">
          <cell r="F1396">
            <v>0</v>
          </cell>
        </row>
        <row r="1397">
          <cell r="F1397">
            <v>0</v>
          </cell>
        </row>
        <row r="1398">
          <cell r="F1398">
            <v>0</v>
          </cell>
        </row>
        <row r="1399">
          <cell r="F1399">
            <v>0</v>
          </cell>
        </row>
        <row r="1400">
          <cell r="F1400">
            <v>0</v>
          </cell>
        </row>
        <row r="1401">
          <cell r="F1401">
            <v>0</v>
          </cell>
        </row>
        <row r="1402">
          <cell r="F1402">
            <v>0</v>
          </cell>
        </row>
        <row r="1403">
          <cell r="F1403">
            <v>0</v>
          </cell>
        </row>
        <row r="1404">
          <cell r="F1404">
            <v>0</v>
          </cell>
        </row>
        <row r="1405">
          <cell r="F1405">
            <v>0</v>
          </cell>
        </row>
        <row r="1406">
          <cell r="F1406">
            <v>0</v>
          </cell>
        </row>
        <row r="1407">
          <cell r="F1407">
            <v>0</v>
          </cell>
        </row>
        <row r="1408">
          <cell r="F1408">
            <v>0</v>
          </cell>
        </row>
        <row r="1409">
          <cell r="F1409">
            <v>0</v>
          </cell>
        </row>
        <row r="1410">
          <cell r="F1410">
            <v>0</v>
          </cell>
        </row>
        <row r="1411">
          <cell r="F1411">
            <v>0</v>
          </cell>
        </row>
        <row r="1412">
          <cell r="F1412">
            <v>0</v>
          </cell>
        </row>
        <row r="1413">
          <cell r="F1413">
            <v>0</v>
          </cell>
        </row>
        <row r="1414">
          <cell r="F1414">
            <v>0</v>
          </cell>
        </row>
        <row r="1415">
          <cell r="F1415">
            <v>0</v>
          </cell>
        </row>
        <row r="1416">
          <cell r="F1416">
            <v>0</v>
          </cell>
        </row>
        <row r="1417">
          <cell r="F1417">
            <v>0</v>
          </cell>
        </row>
        <row r="1418">
          <cell r="F1418">
            <v>0</v>
          </cell>
        </row>
        <row r="1419">
          <cell r="F1419">
            <v>0</v>
          </cell>
        </row>
        <row r="1420">
          <cell r="F1420">
            <v>0</v>
          </cell>
        </row>
        <row r="1421">
          <cell r="F1421">
            <v>0</v>
          </cell>
        </row>
        <row r="1422">
          <cell r="F1422">
            <v>0</v>
          </cell>
        </row>
        <row r="1423">
          <cell r="F1423">
            <v>0</v>
          </cell>
        </row>
        <row r="1424">
          <cell r="F1424">
            <v>0</v>
          </cell>
        </row>
        <row r="1425">
          <cell r="F1425">
            <v>0</v>
          </cell>
        </row>
        <row r="1426">
          <cell r="F1426">
            <v>0</v>
          </cell>
        </row>
        <row r="1427">
          <cell r="F1427">
            <v>0</v>
          </cell>
        </row>
        <row r="1428">
          <cell r="F1428">
            <v>0</v>
          </cell>
        </row>
        <row r="1429">
          <cell r="F1429">
            <v>0</v>
          </cell>
        </row>
        <row r="1430">
          <cell r="F1430">
            <v>0</v>
          </cell>
        </row>
        <row r="1431">
          <cell r="F1431">
            <v>0</v>
          </cell>
        </row>
        <row r="1432">
          <cell r="F1432">
            <v>0</v>
          </cell>
        </row>
        <row r="1433">
          <cell r="F1433">
            <v>0</v>
          </cell>
        </row>
        <row r="1434">
          <cell r="F1434">
            <v>0</v>
          </cell>
        </row>
        <row r="1435">
          <cell r="F1435">
            <v>0</v>
          </cell>
        </row>
        <row r="1436">
          <cell r="F1436">
            <v>0</v>
          </cell>
        </row>
        <row r="1437">
          <cell r="F1437">
            <v>0</v>
          </cell>
        </row>
        <row r="1438">
          <cell r="F1438">
            <v>0</v>
          </cell>
        </row>
        <row r="1439">
          <cell r="F1439">
            <v>0</v>
          </cell>
        </row>
        <row r="1440">
          <cell r="F1440">
            <v>0</v>
          </cell>
        </row>
        <row r="1441">
          <cell r="F1441">
            <v>0</v>
          </cell>
        </row>
        <row r="1442">
          <cell r="F1442">
            <v>0</v>
          </cell>
        </row>
        <row r="1443">
          <cell r="F1443">
            <v>0</v>
          </cell>
        </row>
        <row r="1444">
          <cell r="F1444">
            <v>0</v>
          </cell>
        </row>
        <row r="1445">
          <cell r="F1445">
            <v>0</v>
          </cell>
        </row>
        <row r="1446">
          <cell r="F1446">
            <v>0</v>
          </cell>
        </row>
        <row r="1447">
          <cell r="F1447">
            <v>0</v>
          </cell>
        </row>
        <row r="1448">
          <cell r="F1448">
            <v>0</v>
          </cell>
        </row>
        <row r="1449">
          <cell r="F1449">
            <v>0</v>
          </cell>
        </row>
        <row r="1450">
          <cell r="F1450">
            <v>0</v>
          </cell>
        </row>
        <row r="1451">
          <cell r="F1451">
            <v>0</v>
          </cell>
        </row>
        <row r="1452">
          <cell r="F1452">
            <v>0</v>
          </cell>
        </row>
        <row r="1453">
          <cell r="F1453">
            <v>0</v>
          </cell>
        </row>
        <row r="1454">
          <cell r="F1454">
            <v>0</v>
          </cell>
        </row>
        <row r="1455">
          <cell r="F1455">
            <v>0</v>
          </cell>
        </row>
        <row r="1456">
          <cell r="F1456">
            <v>0</v>
          </cell>
        </row>
        <row r="1457">
          <cell r="F1457">
            <v>0</v>
          </cell>
        </row>
        <row r="1458">
          <cell r="F1458">
            <v>0</v>
          </cell>
        </row>
        <row r="1459">
          <cell r="F1459">
            <v>0</v>
          </cell>
        </row>
        <row r="1460">
          <cell r="F1460">
            <v>0</v>
          </cell>
        </row>
        <row r="1461">
          <cell r="F1461">
            <v>0</v>
          </cell>
        </row>
        <row r="1462">
          <cell r="F1462">
            <v>0</v>
          </cell>
        </row>
        <row r="1463">
          <cell r="F1463">
            <v>0</v>
          </cell>
        </row>
        <row r="1464">
          <cell r="F1464">
            <v>0</v>
          </cell>
        </row>
        <row r="1465">
          <cell r="F1465">
            <v>0</v>
          </cell>
        </row>
        <row r="1466">
          <cell r="F1466">
            <v>0</v>
          </cell>
        </row>
        <row r="1467">
          <cell r="F1467">
            <v>0</v>
          </cell>
        </row>
        <row r="1468">
          <cell r="F1468">
            <v>0</v>
          </cell>
        </row>
        <row r="1469">
          <cell r="F1469">
            <v>0</v>
          </cell>
        </row>
        <row r="1470">
          <cell r="F1470">
            <v>0</v>
          </cell>
        </row>
        <row r="1471">
          <cell r="F1471">
            <v>0</v>
          </cell>
        </row>
        <row r="1472">
          <cell r="F1472">
            <v>0</v>
          </cell>
        </row>
        <row r="1473">
          <cell r="F1473">
            <v>0</v>
          </cell>
        </row>
        <row r="1474">
          <cell r="F1474">
            <v>0</v>
          </cell>
        </row>
        <row r="1475">
          <cell r="F1475">
            <v>0</v>
          </cell>
        </row>
        <row r="1476">
          <cell r="F1476">
            <v>0</v>
          </cell>
        </row>
        <row r="1477">
          <cell r="F1477">
            <v>0</v>
          </cell>
        </row>
        <row r="1478">
          <cell r="F1478">
            <v>0</v>
          </cell>
        </row>
        <row r="1479">
          <cell r="F1479">
            <v>0</v>
          </cell>
        </row>
        <row r="1480">
          <cell r="F1480">
            <v>0</v>
          </cell>
        </row>
        <row r="1481">
          <cell r="F1481">
            <v>0</v>
          </cell>
        </row>
        <row r="1482">
          <cell r="F1482">
            <v>0</v>
          </cell>
        </row>
        <row r="1483">
          <cell r="F1483">
            <v>0</v>
          </cell>
        </row>
        <row r="1484">
          <cell r="F1484">
            <v>0</v>
          </cell>
        </row>
        <row r="1485">
          <cell r="F1485">
            <v>0</v>
          </cell>
        </row>
        <row r="1486">
          <cell r="F1486">
            <v>0</v>
          </cell>
        </row>
        <row r="1487">
          <cell r="F1487">
            <v>0</v>
          </cell>
        </row>
        <row r="1488">
          <cell r="F1488">
            <v>0</v>
          </cell>
        </row>
        <row r="1489">
          <cell r="F1489">
            <v>0</v>
          </cell>
        </row>
        <row r="1490">
          <cell r="F1490">
            <v>0</v>
          </cell>
        </row>
        <row r="1491">
          <cell r="F1491">
            <v>0</v>
          </cell>
        </row>
        <row r="1492">
          <cell r="F1492">
            <v>0</v>
          </cell>
        </row>
        <row r="1493">
          <cell r="F1493">
            <v>0</v>
          </cell>
        </row>
        <row r="1494">
          <cell r="F1494">
            <v>0</v>
          </cell>
        </row>
        <row r="1495">
          <cell r="F1495">
            <v>0</v>
          </cell>
        </row>
        <row r="1496">
          <cell r="F1496">
            <v>0</v>
          </cell>
        </row>
        <row r="1497">
          <cell r="F1497">
            <v>0</v>
          </cell>
        </row>
        <row r="1498">
          <cell r="F1498">
            <v>0</v>
          </cell>
        </row>
        <row r="1499">
          <cell r="F1499">
            <v>0</v>
          </cell>
        </row>
        <row r="1500">
          <cell r="F1500">
            <v>0</v>
          </cell>
        </row>
        <row r="1501">
          <cell r="F1501">
            <v>0</v>
          </cell>
        </row>
        <row r="1502">
          <cell r="F1502">
            <v>0</v>
          </cell>
        </row>
        <row r="1503">
          <cell r="F1503">
            <v>0</v>
          </cell>
        </row>
        <row r="1504">
          <cell r="F1504">
            <v>0</v>
          </cell>
        </row>
        <row r="1505">
          <cell r="F1505">
            <v>0</v>
          </cell>
        </row>
        <row r="1506">
          <cell r="F1506">
            <v>0</v>
          </cell>
        </row>
        <row r="1507">
          <cell r="F1507">
            <v>0</v>
          </cell>
        </row>
        <row r="1508">
          <cell r="F1508">
            <v>0</v>
          </cell>
        </row>
        <row r="1509">
          <cell r="F1509">
            <v>0</v>
          </cell>
        </row>
        <row r="1510">
          <cell r="F1510">
            <v>0</v>
          </cell>
        </row>
        <row r="1511">
          <cell r="F1511">
            <v>0</v>
          </cell>
        </row>
        <row r="1512">
          <cell r="F1512">
            <v>0</v>
          </cell>
        </row>
        <row r="1513">
          <cell r="F1513">
            <v>0</v>
          </cell>
        </row>
        <row r="1514">
          <cell r="F1514">
            <v>0</v>
          </cell>
        </row>
        <row r="1515">
          <cell r="F1515">
            <v>0</v>
          </cell>
        </row>
        <row r="1516">
          <cell r="F1516">
            <v>0</v>
          </cell>
        </row>
        <row r="1517">
          <cell r="F1517">
            <v>0</v>
          </cell>
        </row>
        <row r="1518">
          <cell r="F1518">
            <v>0</v>
          </cell>
        </row>
        <row r="1519">
          <cell r="F1519">
            <v>0</v>
          </cell>
        </row>
        <row r="1520">
          <cell r="F1520">
            <v>0</v>
          </cell>
        </row>
        <row r="1521">
          <cell r="F1521">
            <v>0</v>
          </cell>
        </row>
        <row r="1522">
          <cell r="F1522">
            <v>0</v>
          </cell>
        </row>
        <row r="1523">
          <cell r="F1523">
            <v>0</v>
          </cell>
        </row>
        <row r="1524">
          <cell r="F1524">
            <v>0</v>
          </cell>
        </row>
        <row r="1525">
          <cell r="F1525">
            <v>0</v>
          </cell>
        </row>
        <row r="1526">
          <cell r="F1526">
            <v>0</v>
          </cell>
        </row>
        <row r="1527">
          <cell r="F1527">
            <v>0</v>
          </cell>
        </row>
        <row r="1528">
          <cell r="F1528">
            <v>0</v>
          </cell>
        </row>
        <row r="1529">
          <cell r="F1529">
            <v>0</v>
          </cell>
        </row>
        <row r="1530">
          <cell r="F1530">
            <v>0</v>
          </cell>
        </row>
        <row r="1531">
          <cell r="F1531">
            <v>0</v>
          </cell>
        </row>
        <row r="1532">
          <cell r="F1532">
            <v>0</v>
          </cell>
        </row>
        <row r="1533">
          <cell r="F1533">
            <v>0</v>
          </cell>
        </row>
        <row r="1534">
          <cell r="F1534">
            <v>0</v>
          </cell>
        </row>
        <row r="1535">
          <cell r="F1535">
            <v>0</v>
          </cell>
        </row>
        <row r="1536">
          <cell r="F1536">
            <v>0</v>
          </cell>
        </row>
        <row r="1537">
          <cell r="F1537">
            <v>0</v>
          </cell>
        </row>
        <row r="1538">
          <cell r="F1538">
            <v>0</v>
          </cell>
        </row>
        <row r="1539">
          <cell r="F1539">
            <v>0</v>
          </cell>
        </row>
        <row r="1540">
          <cell r="F1540">
            <v>0</v>
          </cell>
        </row>
        <row r="1541">
          <cell r="F1541">
            <v>0</v>
          </cell>
        </row>
        <row r="1542">
          <cell r="F1542">
            <v>0</v>
          </cell>
        </row>
        <row r="1543">
          <cell r="F1543">
            <v>0</v>
          </cell>
        </row>
        <row r="1544">
          <cell r="F1544">
            <v>0</v>
          </cell>
        </row>
        <row r="1545">
          <cell r="F1545">
            <v>0</v>
          </cell>
        </row>
        <row r="1546">
          <cell r="F1546">
            <v>0</v>
          </cell>
        </row>
        <row r="1547">
          <cell r="F1547">
            <v>0</v>
          </cell>
        </row>
        <row r="1548">
          <cell r="F1548">
            <v>0</v>
          </cell>
        </row>
        <row r="1549">
          <cell r="F1549">
            <v>0</v>
          </cell>
        </row>
        <row r="1550">
          <cell r="F1550">
            <v>0</v>
          </cell>
        </row>
        <row r="1551">
          <cell r="F1551">
            <v>0</v>
          </cell>
        </row>
        <row r="1552">
          <cell r="F1552">
            <v>0</v>
          </cell>
        </row>
        <row r="1553">
          <cell r="F1553">
            <v>0</v>
          </cell>
        </row>
        <row r="1554">
          <cell r="F1554">
            <v>0</v>
          </cell>
        </row>
        <row r="1555">
          <cell r="F1555">
            <v>0</v>
          </cell>
        </row>
        <row r="1556">
          <cell r="F1556">
            <v>0</v>
          </cell>
        </row>
        <row r="1557">
          <cell r="F1557">
            <v>0</v>
          </cell>
        </row>
        <row r="1558">
          <cell r="F1558">
            <v>0</v>
          </cell>
        </row>
        <row r="1559">
          <cell r="F1559">
            <v>0</v>
          </cell>
        </row>
        <row r="1560">
          <cell r="F1560">
            <v>0</v>
          </cell>
        </row>
        <row r="1561">
          <cell r="F1561">
            <v>0</v>
          </cell>
        </row>
        <row r="1562">
          <cell r="F1562">
            <v>0</v>
          </cell>
        </row>
        <row r="1563">
          <cell r="F1563">
            <v>0</v>
          </cell>
        </row>
        <row r="1564">
          <cell r="F1564">
            <v>0</v>
          </cell>
        </row>
        <row r="1565">
          <cell r="F1565">
            <v>0</v>
          </cell>
        </row>
        <row r="1566">
          <cell r="F1566">
            <v>0</v>
          </cell>
        </row>
        <row r="1567">
          <cell r="F1567">
            <v>0</v>
          </cell>
        </row>
        <row r="1568">
          <cell r="F1568">
            <v>0</v>
          </cell>
        </row>
        <row r="1569">
          <cell r="F1569">
            <v>0</v>
          </cell>
        </row>
        <row r="1570">
          <cell r="F1570">
            <v>0</v>
          </cell>
        </row>
        <row r="1571">
          <cell r="F1571">
            <v>0</v>
          </cell>
        </row>
        <row r="1572">
          <cell r="F1572">
            <v>0</v>
          </cell>
        </row>
        <row r="1573">
          <cell r="F1573">
            <v>0</v>
          </cell>
        </row>
        <row r="1574">
          <cell r="F1574">
            <v>0</v>
          </cell>
        </row>
        <row r="1575">
          <cell r="F1575">
            <v>0</v>
          </cell>
        </row>
        <row r="1576">
          <cell r="F1576">
            <v>0</v>
          </cell>
        </row>
        <row r="1577">
          <cell r="F1577">
            <v>0</v>
          </cell>
        </row>
        <row r="1578">
          <cell r="F1578">
            <v>0</v>
          </cell>
        </row>
        <row r="1579">
          <cell r="F1579">
            <v>0</v>
          </cell>
        </row>
        <row r="1580">
          <cell r="F1580">
            <v>0</v>
          </cell>
        </row>
        <row r="1581">
          <cell r="F1581">
            <v>0</v>
          </cell>
        </row>
        <row r="1582">
          <cell r="F1582">
            <v>0</v>
          </cell>
        </row>
        <row r="1583">
          <cell r="F1583">
            <v>0</v>
          </cell>
        </row>
        <row r="1584">
          <cell r="F1584">
            <v>0</v>
          </cell>
        </row>
        <row r="1585">
          <cell r="F1585">
            <v>0</v>
          </cell>
        </row>
        <row r="1586">
          <cell r="F1586">
            <v>0</v>
          </cell>
        </row>
        <row r="1587">
          <cell r="F1587">
            <v>0</v>
          </cell>
        </row>
        <row r="1588">
          <cell r="F1588">
            <v>0</v>
          </cell>
        </row>
        <row r="1589">
          <cell r="F1589">
            <v>0</v>
          </cell>
        </row>
        <row r="1590">
          <cell r="F1590">
            <v>0</v>
          </cell>
        </row>
        <row r="1591">
          <cell r="F1591">
            <v>0</v>
          </cell>
        </row>
        <row r="1592">
          <cell r="F1592">
            <v>0</v>
          </cell>
        </row>
        <row r="1593">
          <cell r="F1593">
            <v>0</v>
          </cell>
        </row>
        <row r="1594">
          <cell r="F1594">
            <v>0</v>
          </cell>
        </row>
        <row r="1595">
          <cell r="F1595">
            <v>0</v>
          </cell>
        </row>
        <row r="1596">
          <cell r="F1596">
            <v>0</v>
          </cell>
        </row>
        <row r="1597">
          <cell r="F1597">
            <v>0</v>
          </cell>
        </row>
        <row r="1598">
          <cell r="F1598">
            <v>0</v>
          </cell>
        </row>
        <row r="1599">
          <cell r="F1599">
            <v>0</v>
          </cell>
        </row>
        <row r="1600">
          <cell r="F1600">
            <v>0</v>
          </cell>
        </row>
        <row r="1601">
          <cell r="F1601">
            <v>0</v>
          </cell>
        </row>
        <row r="1602">
          <cell r="F1602">
            <v>0</v>
          </cell>
        </row>
        <row r="1603">
          <cell r="F1603">
            <v>0</v>
          </cell>
        </row>
        <row r="1604">
          <cell r="F1604">
            <v>0</v>
          </cell>
        </row>
        <row r="1605">
          <cell r="F1605">
            <v>0</v>
          </cell>
        </row>
        <row r="1606">
          <cell r="F1606">
            <v>0</v>
          </cell>
        </row>
        <row r="1607">
          <cell r="F1607">
            <v>0</v>
          </cell>
        </row>
        <row r="1608">
          <cell r="F1608">
            <v>0</v>
          </cell>
        </row>
        <row r="1609">
          <cell r="F1609">
            <v>0</v>
          </cell>
        </row>
        <row r="1610">
          <cell r="F1610">
            <v>0</v>
          </cell>
        </row>
        <row r="1611">
          <cell r="F1611">
            <v>0</v>
          </cell>
        </row>
        <row r="1612">
          <cell r="F1612">
            <v>0</v>
          </cell>
        </row>
        <row r="1613">
          <cell r="F1613">
            <v>0</v>
          </cell>
        </row>
        <row r="1614">
          <cell r="F1614">
            <v>0</v>
          </cell>
        </row>
        <row r="1615">
          <cell r="F1615">
            <v>0</v>
          </cell>
        </row>
        <row r="1616">
          <cell r="F1616">
            <v>0</v>
          </cell>
        </row>
        <row r="1617">
          <cell r="F1617">
            <v>0</v>
          </cell>
        </row>
        <row r="1618">
          <cell r="F1618">
            <v>0</v>
          </cell>
        </row>
        <row r="1619">
          <cell r="F1619">
            <v>0</v>
          </cell>
        </row>
        <row r="1620">
          <cell r="F1620">
            <v>0</v>
          </cell>
        </row>
        <row r="1621">
          <cell r="F1621">
            <v>0</v>
          </cell>
        </row>
        <row r="1622">
          <cell r="F1622">
            <v>0</v>
          </cell>
        </row>
        <row r="1623">
          <cell r="F1623">
            <v>0</v>
          </cell>
        </row>
        <row r="1624">
          <cell r="F1624">
            <v>0</v>
          </cell>
        </row>
        <row r="1625">
          <cell r="F1625">
            <v>0</v>
          </cell>
        </row>
        <row r="1626">
          <cell r="F1626">
            <v>0</v>
          </cell>
        </row>
        <row r="1627">
          <cell r="F1627">
            <v>0</v>
          </cell>
        </row>
        <row r="1628">
          <cell r="F1628">
            <v>0</v>
          </cell>
        </row>
        <row r="1629">
          <cell r="F1629">
            <v>0</v>
          </cell>
        </row>
        <row r="1630">
          <cell r="F1630">
            <v>0</v>
          </cell>
        </row>
        <row r="1631">
          <cell r="F1631">
            <v>0</v>
          </cell>
        </row>
        <row r="1632">
          <cell r="F1632">
            <v>0</v>
          </cell>
        </row>
        <row r="1633">
          <cell r="F1633">
            <v>0</v>
          </cell>
        </row>
        <row r="1634">
          <cell r="F1634">
            <v>0</v>
          </cell>
        </row>
        <row r="1635">
          <cell r="F1635">
            <v>0</v>
          </cell>
        </row>
        <row r="1636">
          <cell r="F1636">
            <v>0</v>
          </cell>
        </row>
        <row r="1637">
          <cell r="F1637">
            <v>0</v>
          </cell>
        </row>
        <row r="1638">
          <cell r="F1638">
            <v>0</v>
          </cell>
        </row>
        <row r="1639">
          <cell r="F1639">
            <v>0</v>
          </cell>
        </row>
        <row r="1640">
          <cell r="F1640">
            <v>0</v>
          </cell>
        </row>
        <row r="1641">
          <cell r="F1641">
            <v>0</v>
          </cell>
        </row>
        <row r="1642">
          <cell r="F1642">
            <v>0</v>
          </cell>
        </row>
        <row r="1643">
          <cell r="F1643">
            <v>0</v>
          </cell>
        </row>
        <row r="1644">
          <cell r="F1644">
            <v>0</v>
          </cell>
        </row>
        <row r="1645">
          <cell r="F1645">
            <v>0</v>
          </cell>
        </row>
        <row r="1646">
          <cell r="F1646">
            <v>0</v>
          </cell>
        </row>
        <row r="1647">
          <cell r="F1647">
            <v>0</v>
          </cell>
        </row>
        <row r="1648">
          <cell r="F1648">
            <v>0</v>
          </cell>
        </row>
        <row r="1649">
          <cell r="F1649">
            <v>0</v>
          </cell>
        </row>
        <row r="1650">
          <cell r="F1650">
            <v>0</v>
          </cell>
        </row>
        <row r="1651">
          <cell r="F1651">
            <v>0</v>
          </cell>
        </row>
        <row r="1652">
          <cell r="F1652">
            <v>0</v>
          </cell>
        </row>
        <row r="1653">
          <cell r="F1653">
            <v>0</v>
          </cell>
        </row>
        <row r="1654">
          <cell r="F1654">
            <v>0</v>
          </cell>
        </row>
        <row r="1655">
          <cell r="F1655">
            <v>0</v>
          </cell>
        </row>
        <row r="1656">
          <cell r="F1656">
            <v>0</v>
          </cell>
        </row>
        <row r="1657">
          <cell r="F1657">
            <v>0</v>
          </cell>
        </row>
        <row r="1658">
          <cell r="F1658">
            <v>0</v>
          </cell>
        </row>
        <row r="1659">
          <cell r="F1659">
            <v>0</v>
          </cell>
        </row>
        <row r="1660">
          <cell r="F1660">
            <v>0</v>
          </cell>
        </row>
        <row r="1661">
          <cell r="F1661">
            <v>0</v>
          </cell>
        </row>
        <row r="1662">
          <cell r="F1662">
            <v>0</v>
          </cell>
        </row>
        <row r="1663">
          <cell r="F1663">
            <v>0</v>
          </cell>
        </row>
        <row r="1664">
          <cell r="F1664">
            <v>0</v>
          </cell>
        </row>
        <row r="1665">
          <cell r="F1665">
            <v>0</v>
          </cell>
        </row>
        <row r="1666">
          <cell r="F1666">
            <v>0</v>
          </cell>
        </row>
        <row r="1667">
          <cell r="F1667">
            <v>0</v>
          </cell>
        </row>
        <row r="1668">
          <cell r="F1668">
            <v>0</v>
          </cell>
        </row>
        <row r="1669">
          <cell r="F1669">
            <v>0</v>
          </cell>
        </row>
        <row r="1670">
          <cell r="F1670">
            <v>0</v>
          </cell>
        </row>
        <row r="1671">
          <cell r="F1671">
            <v>0</v>
          </cell>
        </row>
        <row r="1672">
          <cell r="F1672">
            <v>0</v>
          </cell>
        </row>
        <row r="1673">
          <cell r="F1673">
            <v>0</v>
          </cell>
        </row>
        <row r="1674">
          <cell r="F1674">
            <v>0</v>
          </cell>
        </row>
        <row r="1675">
          <cell r="F1675">
            <v>0</v>
          </cell>
        </row>
        <row r="1676">
          <cell r="F1676">
            <v>0</v>
          </cell>
        </row>
        <row r="1677">
          <cell r="F1677">
            <v>0</v>
          </cell>
        </row>
        <row r="1678">
          <cell r="F1678">
            <v>0</v>
          </cell>
        </row>
        <row r="1679">
          <cell r="F1679">
            <v>0</v>
          </cell>
        </row>
        <row r="1680">
          <cell r="F1680">
            <v>0</v>
          </cell>
        </row>
        <row r="1681">
          <cell r="F1681">
            <v>0</v>
          </cell>
        </row>
        <row r="1682">
          <cell r="F1682">
            <v>0</v>
          </cell>
        </row>
        <row r="1683">
          <cell r="F1683">
            <v>0</v>
          </cell>
        </row>
        <row r="1684">
          <cell r="F1684">
            <v>0</v>
          </cell>
        </row>
        <row r="1685">
          <cell r="F1685">
            <v>0</v>
          </cell>
        </row>
        <row r="1686">
          <cell r="F1686">
            <v>0</v>
          </cell>
        </row>
        <row r="1687">
          <cell r="F1687">
            <v>0</v>
          </cell>
        </row>
        <row r="1688">
          <cell r="F1688">
            <v>0</v>
          </cell>
        </row>
        <row r="1689">
          <cell r="F1689">
            <v>0</v>
          </cell>
        </row>
        <row r="1690">
          <cell r="F1690">
            <v>0</v>
          </cell>
        </row>
        <row r="1691">
          <cell r="F1691">
            <v>0</v>
          </cell>
        </row>
        <row r="1692">
          <cell r="F1692">
            <v>0</v>
          </cell>
        </row>
        <row r="1693">
          <cell r="F1693">
            <v>0</v>
          </cell>
        </row>
        <row r="1694">
          <cell r="F1694">
            <v>0</v>
          </cell>
        </row>
        <row r="1695">
          <cell r="F1695">
            <v>0</v>
          </cell>
        </row>
        <row r="1696">
          <cell r="F1696">
            <v>0</v>
          </cell>
        </row>
        <row r="1697">
          <cell r="F1697">
            <v>0</v>
          </cell>
        </row>
        <row r="1698">
          <cell r="F1698">
            <v>0</v>
          </cell>
        </row>
        <row r="1699">
          <cell r="F1699">
            <v>0</v>
          </cell>
        </row>
        <row r="1700">
          <cell r="F1700">
            <v>0</v>
          </cell>
        </row>
        <row r="1701">
          <cell r="F1701">
            <v>0</v>
          </cell>
        </row>
        <row r="1702">
          <cell r="F1702">
            <v>0</v>
          </cell>
        </row>
        <row r="1703">
          <cell r="F1703">
            <v>0</v>
          </cell>
        </row>
        <row r="1704">
          <cell r="F1704">
            <v>0</v>
          </cell>
        </row>
        <row r="1705">
          <cell r="F1705">
            <v>0</v>
          </cell>
        </row>
        <row r="1706">
          <cell r="F1706">
            <v>0</v>
          </cell>
        </row>
        <row r="1707">
          <cell r="F1707">
            <v>0</v>
          </cell>
        </row>
        <row r="1708">
          <cell r="F1708">
            <v>0</v>
          </cell>
        </row>
        <row r="1709">
          <cell r="F1709">
            <v>0</v>
          </cell>
        </row>
        <row r="1710">
          <cell r="F1710">
            <v>0</v>
          </cell>
        </row>
        <row r="1711">
          <cell r="F1711">
            <v>0</v>
          </cell>
        </row>
        <row r="1712">
          <cell r="F1712">
            <v>0</v>
          </cell>
        </row>
        <row r="1713">
          <cell r="F1713">
            <v>0</v>
          </cell>
        </row>
        <row r="1714">
          <cell r="F1714">
            <v>0</v>
          </cell>
        </row>
        <row r="1715">
          <cell r="F1715">
            <v>0</v>
          </cell>
        </row>
        <row r="1716">
          <cell r="F1716">
            <v>0</v>
          </cell>
        </row>
        <row r="1717">
          <cell r="F1717">
            <v>0</v>
          </cell>
        </row>
        <row r="1718">
          <cell r="F1718">
            <v>0</v>
          </cell>
        </row>
        <row r="1719">
          <cell r="F1719">
            <v>0</v>
          </cell>
        </row>
        <row r="1720">
          <cell r="F1720">
            <v>0</v>
          </cell>
        </row>
        <row r="1721">
          <cell r="F1721">
            <v>0</v>
          </cell>
        </row>
        <row r="1722">
          <cell r="F1722">
            <v>0</v>
          </cell>
        </row>
        <row r="1723">
          <cell r="F1723">
            <v>0</v>
          </cell>
        </row>
        <row r="1724">
          <cell r="F1724">
            <v>0</v>
          </cell>
        </row>
        <row r="1725">
          <cell r="F1725">
            <v>0</v>
          </cell>
        </row>
        <row r="1726">
          <cell r="F1726">
            <v>0</v>
          </cell>
        </row>
        <row r="1727">
          <cell r="F1727">
            <v>0</v>
          </cell>
        </row>
        <row r="1728">
          <cell r="F1728">
            <v>0</v>
          </cell>
        </row>
        <row r="1729">
          <cell r="F1729">
            <v>0</v>
          </cell>
        </row>
        <row r="1730">
          <cell r="F1730">
            <v>0</v>
          </cell>
        </row>
        <row r="1731">
          <cell r="F1731">
            <v>0</v>
          </cell>
        </row>
        <row r="1732">
          <cell r="F1732">
            <v>0</v>
          </cell>
        </row>
        <row r="1733">
          <cell r="F1733">
            <v>0</v>
          </cell>
        </row>
        <row r="1734">
          <cell r="F1734">
            <v>0</v>
          </cell>
        </row>
        <row r="1735">
          <cell r="F1735">
            <v>0</v>
          </cell>
        </row>
        <row r="1736">
          <cell r="F1736">
            <v>0</v>
          </cell>
        </row>
        <row r="1737">
          <cell r="F1737">
            <v>0</v>
          </cell>
        </row>
        <row r="1738">
          <cell r="F1738">
            <v>0</v>
          </cell>
        </row>
        <row r="1739">
          <cell r="F1739">
            <v>0</v>
          </cell>
        </row>
        <row r="1740">
          <cell r="F1740">
            <v>0</v>
          </cell>
        </row>
        <row r="1741">
          <cell r="F1741">
            <v>0</v>
          </cell>
        </row>
        <row r="1742">
          <cell r="F1742">
            <v>0</v>
          </cell>
        </row>
        <row r="1743">
          <cell r="F1743">
            <v>0</v>
          </cell>
        </row>
        <row r="1744">
          <cell r="F1744">
            <v>0</v>
          </cell>
        </row>
        <row r="1745">
          <cell r="F1745">
            <v>0</v>
          </cell>
        </row>
        <row r="1746">
          <cell r="F1746">
            <v>0</v>
          </cell>
        </row>
        <row r="1747">
          <cell r="F1747">
            <v>0</v>
          </cell>
        </row>
        <row r="1748">
          <cell r="F1748">
            <v>0</v>
          </cell>
        </row>
        <row r="1749">
          <cell r="F1749">
            <v>0</v>
          </cell>
        </row>
        <row r="1750">
          <cell r="F1750">
            <v>0</v>
          </cell>
        </row>
        <row r="1751">
          <cell r="F1751">
            <v>0</v>
          </cell>
        </row>
        <row r="1752">
          <cell r="F1752">
            <v>0</v>
          </cell>
        </row>
        <row r="1753">
          <cell r="F1753">
            <v>0</v>
          </cell>
        </row>
        <row r="1754">
          <cell r="F1754">
            <v>0</v>
          </cell>
        </row>
        <row r="1755">
          <cell r="F1755">
            <v>0</v>
          </cell>
        </row>
        <row r="1756">
          <cell r="F1756">
            <v>0</v>
          </cell>
        </row>
        <row r="1757">
          <cell r="F1757">
            <v>0</v>
          </cell>
        </row>
        <row r="1758">
          <cell r="F1758">
            <v>0</v>
          </cell>
        </row>
        <row r="1759">
          <cell r="F1759">
            <v>0</v>
          </cell>
        </row>
        <row r="1760">
          <cell r="F1760">
            <v>0</v>
          </cell>
        </row>
        <row r="1761">
          <cell r="F1761">
            <v>0</v>
          </cell>
        </row>
        <row r="1762">
          <cell r="F1762">
            <v>0</v>
          </cell>
        </row>
        <row r="1763">
          <cell r="F1763">
            <v>0</v>
          </cell>
        </row>
        <row r="1764">
          <cell r="F1764">
            <v>0</v>
          </cell>
        </row>
        <row r="1765">
          <cell r="F1765">
            <v>0</v>
          </cell>
        </row>
        <row r="1766">
          <cell r="F1766">
            <v>0</v>
          </cell>
        </row>
        <row r="1767">
          <cell r="F1767">
            <v>0</v>
          </cell>
        </row>
        <row r="1768">
          <cell r="F1768">
            <v>0</v>
          </cell>
        </row>
        <row r="1769">
          <cell r="F1769">
            <v>0</v>
          </cell>
        </row>
        <row r="1770">
          <cell r="F1770">
            <v>0</v>
          </cell>
        </row>
        <row r="1771">
          <cell r="F1771">
            <v>0</v>
          </cell>
        </row>
        <row r="1772">
          <cell r="F1772">
            <v>0</v>
          </cell>
        </row>
        <row r="1773">
          <cell r="F1773">
            <v>0</v>
          </cell>
        </row>
        <row r="1774">
          <cell r="F1774">
            <v>0</v>
          </cell>
        </row>
        <row r="1775">
          <cell r="F1775">
            <v>0</v>
          </cell>
        </row>
        <row r="1776">
          <cell r="F1776">
            <v>0</v>
          </cell>
        </row>
        <row r="1777">
          <cell r="F1777">
            <v>0</v>
          </cell>
        </row>
        <row r="1778">
          <cell r="F1778">
            <v>0</v>
          </cell>
        </row>
        <row r="1779">
          <cell r="F1779">
            <v>0</v>
          </cell>
        </row>
        <row r="1780">
          <cell r="F1780">
            <v>0</v>
          </cell>
        </row>
        <row r="1781">
          <cell r="F1781">
            <v>0</v>
          </cell>
        </row>
        <row r="1782">
          <cell r="F1782">
            <v>0</v>
          </cell>
        </row>
        <row r="1783">
          <cell r="F1783">
            <v>0</v>
          </cell>
        </row>
        <row r="1784">
          <cell r="F1784">
            <v>0</v>
          </cell>
        </row>
        <row r="1785">
          <cell r="F1785">
            <v>0</v>
          </cell>
        </row>
        <row r="1786">
          <cell r="F1786">
            <v>0</v>
          </cell>
        </row>
        <row r="1787">
          <cell r="F1787">
            <v>0</v>
          </cell>
        </row>
        <row r="1788">
          <cell r="F1788">
            <v>0</v>
          </cell>
        </row>
        <row r="1789">
          <cell r="F1789">
            <v>0</v>
          </cell>
        </row>
        <row r="1790">
          <cell r="F1790">
            <v>0</v>
          </cell>
        </row>
        <row r="1791">
          <cell r="F1791">
            <v>0</v>
          </cell>
        </row>
        <row r="1792">
          <cell r="F1792">
            <v>0</v>
          </cell>
        </row>
        <row r="1793">
          <cell r="F1793">
            <v>0</v>
          </cell>
        </row>
        <row r="1794">
          <cell r="F1794">
            <v>0</v>
          </cell>
        </row>
        <row r="1795">
          <cell r="F1795">
            <v>0</v>
          </cell>
        </row>
        <row r="1796">
          <cell r="F1796">
            <v>0</v>
          </cell>
        </row>
        <row r="1797">
          <cell r="F1797">
            <v>0</v>
          </cell>
        </row>
        <row r="1798">
          <cell r="F1798">
            <v>0</v>
          </cell>
        </row>
        <row r="1799">
          <cell r="F1799">
            <v>0</v>
          </cell>
        </row>
        <row r="1800">
          <cell r="F1800">
            <v>0</v>
          </cell>
        </row>
        <row r="1801">
          <cell r="F1801">
            <v>0</v>
          </cell>
        </row>
        <row r="1802">
          <cell r="F1802">
            <v>0</v>
          </cell>
        </row>
        <row r="1803">
          <cell r="F1803">
            <v>0</v>
          </cell>
        </row>
        <row r="1804">
          <cell r="F1804">
            <v>0</v>
          </cell>
        </row>
        <row r="1805">
          <cell r="F1805">
            <v>0</v>
          </cell>
        </row>
        <row r="1806">
          <cell r="F1806">
            <v>0</v>
          </cell>
        </row>
        <row r="1807">
          <cell r="F1807">
            <v>0</v>
          </cell>
        </row>
        <row r="1808">
          <cell r="F1808">
            <v>0</v>
          </cell>
        </row>
        <row r="1809">
          <cell r="F1809">
            <v>0</v>
          </cell>
        </row>
        <row r="1810">
          <cell r="F1810">
            <v>0</v>
          </cell>
        </row>
        <row r="1811">
          <cell r="F1811">
            <v>0</v>
          </cell>
        </row>
        <row r="1812">
          <cell r="F1812">
            <v>0</v>
          </cell>
        </row>
        <row r="1813">
          <cell r="F1813">
            <v>0</v>
          </cell>
        </row>
        <row r="1814">
          <cell r="F1814">
            <v>0</v>
          </cell>
        </row>
        <row r="1815">
          <cell r="F1815">
            <v>0</v>
          </cell>
        </row>
        <row r="1816">
          <cell r="F1816">
            <v>0</v>
          </cell>
        </row>
        <row r="1817">
          <cell r="F1817">
            <v>0</v>
          </cell>
        </row>
        <row r="1818">
          <cell r="F1818">
            <v>0</v>
          </cell>
        </row>
        <row r="1819">
          <cell r="F1819">
            <v>0</v>
          </cell>
        </row>
        <row r="1820">
          <cell r="F1820">
            <v>0</v>
          </cell>
        </row>
        <row r="1821">
          <cell r="F1821">
            <v>0</v>
          </cell>
        </row>
        <row r="1822">
          <cell r="F1822">
            <v>0</v>
          </cell>
        </row>
        <row r="1823">
          <cell r="F1823">
            <v>0</v>
          </cell>
        </row>
        <row r="1824">
          <cell r="F1824">
            <v>0</v>
          </cell>
        </row>
        <row r="1825">
          <cell r="F1825">
            <v>0</v>
          </cell>
        </row>
        <row r="1826">
          <cell r="F1826">
            <v>0</v>
          </cell>
        </row>
        <row r="1827">
          <cell r="F1827">
            <v>0</v>
          </cell>
        </row>
        <row r="1828">
          <cell r="F1828">
            <v>0</v>
          </cell>
        </row>
        <row r="1829">
          <cell r="F1829">
            <v>0</v>
          </cell>
        </row>
        <row r="1830">
          <cell r="F1830">
            <v>0</v>
          </cell>
        </row>
        <row r="1831">
          <cell r="F1831">
            <v>0</v>
          </cell>
        </row>
        <row r="1832">
          <cell r="F1832">
            <v>0</v>
          </cell>
        </row>
        <row r="1833">
          <cell r="F1833">
            <v>0</v>
          </cell>
        </row>
        <row r="1834">
          <cell r="F1834">
            <v>0</v>
          </cell>
        </row>
        <row r="1835">
          <cell r="F1835">
            <v>0</v>
          </cell>
        </row>
        <row r="1836">
          <cell r="F1836">
            <v>0</v>
          </cell>
        </row>
        <row r="1837">
          <cell r="F1837">
            <v>0</v>
          </cell>
        </row>
        <row r="1838">
          <cell r="F1838">
            <v>0</v>
          </cell>
        </row>
        <row r="1839">
          <cell r="F1839">
            <v>0</v>
          </cell>
        </row>
        <row r="1840">
          <cell r="F1840">
            <v>0</v>
          </cell>
        </row>
        <row r="1841">
          <cell r="F1841">
            <v>0</v>
          </cell>
        </row>
        <row r="1842">
          <cell r="F1842">
            <v>0</v>
          </cell>
        </row>
        <row r="1843">
          <cell r="F1843">
            <v>0</v>
          </cell>
        </row>
        <row r="1844">
          <cell r="F1844">
            <v>0</v>
          </cell>
        </row>
        <row r="1845">
          <cell r="F1845">
            <v>0</v>
          </cell>
        </row>
        <row r="1846">
          <cell r="F1846">
            <v>0</v>
          </cell>
        </row>
        <row r="1847">
          <cell r="F1847">
            <v>0</v>
          </cell>
        </row>
        <row r="1848">
          <cell r="F1848">
            <v>0</v>
          </cell>
        </row>
        <row r="1849">
          <cell r="F1849">
            <v>0</v>
          </cell>
        </row>
        <row r="1850">
          <cell r="F1850">
            <v>0</v>
          </cell>
        </row>
        <row r="1851">
          <cell r="F1851">
            <v>0</v>
          </cell>
        </row>
        <row r="1852">
          <cell r="F1852">
            <v>0</v>
          </cell>
        </row>
        <row r="1853">
          <cell r="F1853">
            <v>0</v>
          </cell>
        </row>
        <row r="1854">
          <cell r="F1854">
            <v>0</v>
          </cell>
        </row>
        <row r="1855">
          <cell r="F1855">
            <v>0</v>
          </cell>
        </row>
        <row r="1856">
          <cell r="F1856">
            <v>0</v>
          </cell>
        </row>
        <row r="1857">
          <cell r="F1857">
            <v>0</v>
          </cell>
        </row>
        <row r="1858">
          <cell r="F1858">
            <v>0</v>
          </cell>
        </row>
        <row r="1859">
          <cell r="F1859">
            <v>0</v>
          </cell>
        </row>
        <row r="1860">
          <cell r="F1860">
            <v>0</v>
          </cell>
        </row>
        <row r="1861">
          <cell r="F1861">
            <v>0</v>
          </cell>
        </row>
        <row r="1862">
          <cell r="F1862">
            <v>0</v>
          </cell>
        </row>
        <row r="1863">
          <cell r="F1863">
            <v>0</v>
          </cell>
        </row>
        <row r="1864">
          <cell r="F1864">
            <v>0</v>
          </cell>
        </row>
        <row r="1865">
          <cell r="F1865">
            <v>0</v>
          </cell>
        </row>
        <row r="1866">
          <cell r="F1866">
            <v>0</v>
          </cell>
        </row>
        <row r="1867">
          <cell r="F1867">
            <v>0</v>
          </cell>
        </row>
        <row r="1868">
          <cell r="F1868">
            <v>0</v>
          </cell>
        </row>
        <row r="1869">
          <cell r="F1869">
            <v>0</v>
          </cell>
        </row>
        <row r="1870">
          <cell r="F1870">
            <v>0</v>
          </cell>
        </row>
        <row r="1871">
          <cell r="F1871">
            <v>0</v>
          </cell>
        </row>
        <row r="1872">
          <cell r="F1872">
            <v>0</v>
          </cell>
        </row>
        <row r="1873">
          <cell r="F1873">
            <v>0</v>
          </cell>
        </row>
        <row r="1874">
          <cell r="F1874">
            <v>0</v>
          </cell>
        </row>
        <row r="1875">
          <cell r="F1875">
            <v>0</v>
          </cell>
        </row>
        <row r="1876">
          <cell r="F1876">
            <v>0</v>
          </cell>
        </row>
        <row r="1877">
          <cell r="F1877">
            <v>0</v>
          </cell>
        </row>
        <row r="1878">
          <cell r="F1878">
            <v>0</v>
          </cell>
        </row>
        <row r="1879">
          <cell r="F1879">
            <v>0</v>
          </cell>
        </row>
        <row r="1880">
          <cell r="F1880">
            <v>0</v>
          </cell>
        </row>
        <row r="1881">
          <cell r="F1881">
            <v>0</v>
          </cell>
        </row>
        <row r="1882">
          <cell r="F1882">
            <v>0</v>
          </cell>
        </row>
        <row r="1883">
          <cell r="F1883">
            <v>0</v>
          </cell>
        </row>
        <row r="1884">
          <cell r="F1884">
            <v>0</v>
          </cell>
        </row>
        <row r="1885">
          <cell r="F1885">
            <v>0</v>
          </cell>
        </row>
        <row r="1886">
          <cell r="F1886">
            <v>0</v>
          </cell>
        </row>
        <row r="1887">
          <cell r="F1887">
            <v>0</v>
          </cell>
        </row>
        <row r="1888">
          <cell r="F1888">
            <v>0</v>
          </cell>
        </row>
        <row r="1889">
          <cell r="F1889">
            <v>0</v>
          </cell>
        </row>
        <row r="1890">
          <cell r="F1890">
            <v>0</v>
          </cell>
        </row>
        <row r="1891">
          <cell r="F1891">
            <v>0</v>
          </cell>
        </row>
        <row r="1892">
          <cell r="F1892">
            <v>0</v>
          </cell>
        </row>
        <row r="1893">
          <cell r="F1893">
            <v>0</v>
          </cell>
        </row>
        <row r="1894">
          <cell r="F1894">
            <v>0</v>
          </cell>
        </row>
        <row r="1895">
          <cell r="F1895">
            <v>0</v>
          </cell>
        </row>
        <row r="1896">
          <cell r="F1896">
            <v>0</v>
          </cell>
        </row>
        <row r="1897">
          <cell r="F1897">
            <v>0</v>
          </cell>
        </row>
        <row r="1898">
          <cell r="F1898">
            <v>0</v>
          </cell>
        </row>
        <row r="1899">
          <cell r="F1899">
            <v>0</v>
          </cell>
        </row>
        <row r="1900">
          <cell r="F1900">
            <v>0</v>
          </cell>
        </row>
        <row r="1901">
          <cell r="F1901">
            <v>0</v>
          </cell>
        </row>
        <row r="1902">
          <cell r="F1902">
            <v>0</v>
          </cell>
        </row>
        <row r="1903">
          <cell r="F1903">
            <v>0</v>
          </cell>
        </row>
        <row r="1904">
          <cell r="F1904">
            <v>0</v>
          </cell>
        </row>
        <row r="1905">
          <cell r="F1905">
            <v>0</v>
          </cell>
        </row>
        <row r="1906">
          <cell r="F1906">
            <v>0</v>
          </cell>
        </row>
        <row r="1907">
          <cell r="F1907">
            <v>0</v>
          </cell>
        </row>
        <row r="1908">
          <cell r="F1908">
            <v>0</v>
          </cell>
        </row>
        <row r="1909">
          <cell r="F1909">
            <v>0</v>
          </cell>
        </row>
        <row r="1910">
          <cell r="F1910">
            <v>0</v>
          </cell>
        </row>
        <row r="1911">
          <cell r="F1911">
            <v>0</v>
          </cell>
        </row>
        <row r="1912">
          <cell r="F1912">
            <v>0</v>
          </cell>
        </row>
        <row r="1913">
          <cell r="F1913">
            <v>0</v>
          </cell>
        </row>
        <row r="1914">
          <cell r="F1914">
            <v>0</v>
          </cell>
        </row>
        <row r="1915">
          <cell r="F1915">
            <v>0</v>
          </cell>
        </row>
        <row r="1916">
          <cell r="F1916">
            <v>0</v>
          </cell>
        </row>
        <row r="1917">
          <cell r="F1917">
            <v>0</v>
          </cell>
        </row>
        <row r="1918">
          <cell r="F1918">
            <v>0</v>
          </cell>
        </row>
        <row r="1919">
          <cell r="F1919">
            <v>0</v>
          </cell>
        </row>
        <row r="1920">
          <cell r="F1920">
            <v>0</v>
          </cell>
        </row>
        <row r="1921">
          <cell r="F1921">
            <v>0</v>
          </cell>
        </row>
        <row r="1922">
          <cell r="F1922">
            <v>0</v>
          </cell>
        </row>
        <row r="1923">
          <cell r="F1923">
            <v>0</v>
          </cell>
        </row>
        <row r="1924">
          <cell r="F1924">
            <v>0</v>
          </cell>
        </row>
        <row r="1925">
          <cell r="F1925">
            <v>0</v>
          </cell>
        </row>
        <row r="1926">
          <cell r="F1926">
            <v>0</v>
          </cell>
        </row>
        <row r="1927">
          <cell r="F1927">
            <v>0</v>
          </cell>
        </row>
        <row r="1928">
          <cell r="F1928">
            <v>0</v>
          </cell>
        </row>
        <row r="1929">
          <cell r="F1929">
            <v>0</v>
          </cell>
        </row>
        <row r="1930">
          <cell r="F1930">
            <v>0</v>
          </cell>
        </row>
        <row r="1931">
          <cell r="F1931">
            <v>0</v>
          </cell>
        </row>
        <row r="1932">
          <cell r="F1932">
            <v>0</v>
          </cell>
        </row>
        <row r="1933">
          <cell r="F1933">
            <v>0</v>
          </cell>
        </row>
        <row r="1934">
          <cell r="F1934">
            <v>0</v>
          </cell>
        </row>
        <row r="1935">
          <cell r="F1935">
            <v>0</v>
          </cell>
        </row>
        <row r="1936">
          <cell r="F1936">
            <v>0</v>
          </cell>
        </row>
        <row r="1937">
          <cell r="F1937">
            <v>0</v>
          </cell>
        </row>
        <row r="1938">
          <cell r="F1938">
            <v>0</v>
          </cell>
        </row>
        <row r="1939">
          <cell r="F1939">
            <v>0</v>
          </cell>
        </row>
        <row r="1940">
          <cell r="F1940">
            <v>0</v>
          </cell>
        </row>
        <row r="1941">
          <cell r="F1941">
            <v>0</v>
          </cell>
        </row>
        <row r="1942">
          <cell r="F1942">
            <v>0</v>
          </cell>
        </row>
        <row r="1943">
          <cell r="F1943">
            <v>0</v>
          </cell>
        </row>
        <row r="1944">
          <cell r="F1944">
            <v>0</v>
          </cell>
        </row>
        <row r="1945">
          <cell r="F1945">
            <v>0</v>
          </cell>
        </row>
        <row r="1946">
          <cell r="F1946">
            <v>0</v>
          </cell>
        </row>
        <row r="1947">
          <cell r="F1947">
            <v>0</v>
          </cell>
        </row>
        <row r="1948">
          <cell r="F1948">
            <v>0</v>
          </cell>
        </row>
        <row r="1949">
          <cell r="F1949">
            <v>0</v>
          </cell>
        </row>
        <row r="1950">
          <cell r="F1950">
            <v>0</v>
          </cell>
        </row>
        <row r="1951">
          <cell r="F1951">
            <v>0</v>
          </cell>
        </row>
        <row r="1952">
          <cell r="F1952">
            <v>0</v>
          </cell>
        </row>
        <row r="1953">
          <cell r="F1953">
            <v>0</v>
          </cell>
        </row>
        <row r="1954">
          <cell r="F1954">
            <v>0</v>
          </cell>
        </row>
        <row r="1955">
          <cell r="F1955">
            <v>0</v>
          </cell>
        </row>
        <row r="1956">
          <cell r="F1956">
            <v>0</v>
          </cell>
        </row>
        <row r="1957">
          <cell r="F1957">
            <v>0</v>
          </cell>
        </row>
        <row r="1958">
          <cell r="F1958">
            <v>0</v>
          </cell>
        </row>
        <row r="1959">
          <cell r="F1959">
            <v>0</v>
          </cell>
        </row>
        <row r="1960">
          <cell r="F1960">
            <v>0</v>
          </cell>
        </row>
        <row r="1961">
          <cell r="F1961">
            <v>0</v>
          </cell>
        </row>
        <row r="1962">
          <cell r="F1962">
            <v>0</v>
          </cell>
        </row>
        <row r="1963">
          <cell r="F1963">
            <v>0</v>
          </cell>
        </row>
        <row r="1964">
          <cell r="F1964">
            <v>0</v>
          </cell>
        </row>
        <row r="1965">
          <cell r="F1965">
            <v>0</v>
          </cell>
        </row>
        <row r="1966">
          <cell r="F1966">
            <v>0</v>
          </cell>
        </row>
        <row r="1967">
          <cell r="F1967">
            <v>0</v>
          </cell>
        </row>
        <row r="1968">
          <cell r="F1968">
            <v>0</v>
          </cell>
        </row>
        <row r="1969">
          <cell r="F1969">
            <v>0</v>
          </cell>
        </row>
        <row r="1970">
          <cell r="F1970">
            <v>0</v>
          </cell>
        </row>
        <row r="1971">
          <cell r="F1971">
            <v>0</v>
          </cell>
        </row>
        <row r="1972">
          <cell r="F1972">
            <v>0</v>
          </cell>
        </row>
        <row r="1973">
          <cell r="F1973">
            <v>0</v>
          </cell>
        </row>
        <row r="1974">
          <cell r="F1974">
            <v>0</v>
          </cell>
        </row>
        <row r="1975">
          <cell r="F1975">
            <v>0</v>
          </cell>
        </row>
        <row r="1976">
          <cell r="F1976">
            <v>0</v>
          </cell>
        </row>
        <row r="1977">
          <cell r="F1977">
            <v>0</v>
          </cell>
        </row>
        <row r="1978">
          <cell r="F1978">
            <v>0</v>
          </cell>
        </row>
        <row r="1979">
          <cell r="F1979">
            <v>0</v>
          </cell>
        </row>
        <row r="1980">
          <cell r="F1980">
            <v>0</v>
          </cell>
        </row>
        <row r="1981">
          <cell r="F1981">
            <v>0</v>
          </cell>
        </row>
        <row r="1982">
          <cell r="F1982">
            <v>0</v>
          </cell>
        </row>
        <row r="1983">
          <cell r="F1983">
            <v>0</v>
          </cell>
        </row>
        <row r="1984">
          <cell r="F1984">
            <v>0</v>
          </cell>
        </row>
        <row r="1985">
          <cell r="F1985">
            <v>0</v>
          </cell>
        </row>
        <row r="1986">
          <cell r="F1986">
            <v>0</v>
          </cell>
        </row>
        <row r="1987">
          <cell r="F1987">
            <v>0</v>
          </cell>
        </row>
        <row r="1988">
          <cell r="F1988">
            <v>0</v>
          </cell>
        </row>
        <row r="1989">
          <cell r="F1989">
            <v>0</v>
          </cell>
        </row>
        <row r="1990">
          <cell r="F1990">
            <v>0</v>
          </cell>
        </row>
        <row r="1991">
          <cell r="F1991">
            <v>0</v>
          </cell>
        </row>
        <row r="1992">
          <cell r="F1992">
            <v>0</v>
          </cell>
        </row>
        <row r="1993">
          <cell r="F1993">
            <v>0</v>
          </cell>
        </row>
        <row r="1994">
          <cell r="F1994">
            <v>0</v>
          </cell>
        </row>
        <row r="1995">
          <cell r="F1995">
            <v>0</v>
          </cell>
        </row>
        <row r="1996">
          <cell r="F1996">
            <v>0</v>
          </cell>
        </row>
        <row r="1997">
          <cell r="F1997">
            <v>0</v>
          </cell>
        </row>
        <row r="1998">
          <cell r="F1998">
            <v>0</v>
          </cell>
        </row>
        <row r="1999">
          <cell r="F1999">
            <v>0</v>
          </cell>
        </row>
        <row r="2000">
          <cell r="F2000">
            <v>0</v>
          </cell>
        </row>
        <row r="2001">
          <cell r="F2001">
            <v>0</v>
          </cell>
        </row>
        <row r="2002">
          <cell r="F2002">
            <v>0</v>
          </cell>
        </row>
        <row r="2003">
          <cell r="F2003">
            <v>0</v>
          </cell>
        </row>
        <row r="2004">
          <cell r="F2004">
            <v>0</v>
          </cell>
        </row>
        <row r="2005">
          <cell r="F2005">
            <v>0</v>
          </cell>
        </row>
        <row r="2006">
          <cell r="F2006">
            <v>0</v>
          </cell>
        </row>
        <row r="2007">
          <cell r="F2007">
            <v>0</v>
          </cell>
        </row>
        <row r="2008">
          <cell r="F2008">
            <v>0</v>
          </cell>
        </row>
        <row r="2009">
          <cell r="F2009">
            <v>0</v>
          </cell>
        </row>
        <row r="2010">
          <cell r="F2010">
            <v>0</v>
          </cell>
        </row>
        <row r="2011">
          <cell r="F2011">
            <v>0</v>
          </cell>
        </row>
        <row r="2012">
          <cell r="F2012">
            <v>0</v>
          </cell>
        </row>
        <row r="2013">
          <cell r="F2013">
            <v>0</v>
          </cell>
        </row>
        <row r="2014">
          <cell r="F2014">
            <v>0</v>
          </cell>
        </row>
        <row r="2015">
          <cell r="F2015">
            <v>0</v>
          </cell>
        </row>
        <row r="2016">
          <cell r="F2016">
            <v>0</v>
          </cell>
        </row>
        <row r="2017">
          <cell r="F2017">
            <v>0</v>
          </cell>
        </row>
        <row r="2018">
          <cell r="F2018">
            <v>0</v>
          </cell>
        </row>
        <row r="2019">
          <cell r="F2019">
            <v>0</v>
          </cell>
        </row>
        <row r="2020">
          <cell r="F2020">
            <v>0</v>
          </cell>
        </row>
        <row r="2021">
          <cell r="F2021">
            <v>0</v>
          </cell>
        </row>
        <row r="2022">
          <cell r="F2022">
            <v>0</v>
          </cell>
        </row>
        <row r="2023">
          <cell r="F2023">
            <v>0</v>
          </cell>
        </row>
        <row r="2024">
          <cell r="F2024">
            <v>0</v>
          </cell>
        </row>
        <row r="2025">
          <cell r="F2025">
            <v>0</v>
          </cell>
        </row>
        <row r="2026">
          <cell r="F2026">
            <v>0</v>
          </cell>
        </row>
        <row r="2027">
          <cell r="F2027">
            <v>0</v>
          </cell>
        </row>
        <row r="2028">
          <cell r="F2028">
            <v>0</v>
          </cell>
        </row>
        <row r="2029">
          <cell r="F2029">
            <v>0</v>
          </cell>
        </row>
        <row r="2030">
          <cell r="F2030">
            <v>0</v>
          </cell>
        </row>
        <row r="2031">
          <cell r="F2031">
            <v>0</v>
          </cell>
        </row>
        <row r="2032">
          <cell r="F2032">
            <v>0</v>
          </cell>
        </row>
        <row r="2033">
          <cell r="F2033">
            <v>0</v>
          </cell>
        </row>
        <row r="2034">
          <cell r="F2034">
            <v>0</v>
          </cell>
        </row>
        <row r="2035">
          <cell r="F2035">
            <v>0</v>
          </cell>
        </row>
        <row r="2036">
          <cell r="F2036">
            <v>0</v>
          </cell>
        </row>
        <row r="2037">
          <cell r="F2037">
            <v>0</v>
          </cell>
        </row>
        <row r="2038">
          <cell r="F2038">
            <v>0</v>
          </cell>
        </row>
        <row r="2039">
          <cell r="F2039">
            <v>0</v>
          </cell>
        </row>
        <row r="2040">
          <cell r="F2040">
            <v>0</v>
          </cell>
        </row>
        <row r="2041">
          <cell r="F2041">
            <v>0</v>
          </cell>
        </row>
        <row r="2042">
          <cell r="F2042">
            <v>0</v>
          </cell>
        </row>
        <row r="2043">
          <cell r="F2043">
            <v>0</v>
          </cell>
        </row>
        <row r="2044">
          <cell r="F2044">
            <v>0</v>
          </cell>
        </row>
        <row r="2045">
          <cell r="F2045">
            <v>0</v>
          </cell>
        </row>
        <row r="2046">
          <cell r="F2046">
            <v>0</v>
          </cell>
        </row>
        <row r="2047">
          <cell r="F2047">
            <v>0</v>
          </cell>
        </row>
        <row r="2048">
          <cell r="F2048">
            <v>0</v>
          </cell>
        </row>
        <row r="2049">
          <cell r="F2049">
            <v>0</v>
          </cell>
        </row>
        <row r="2050">
          <cell r="F2050">
            <v>0</v>
          </cell>
        </row>
        <row r="2051">
          <cell r="F2051">
            <v>0</v>
          </cell>
        </row>
        <row r="2052">
          <cell r="F2052">
            <v>0</v>
          </cell>
        </row>
        <row r="2053">
          <cell r="F2053">
            <v>0</v>
          </cell>
        </row>
        <row r="2054">
          <cell r="F2054">
            <v>0</v>
          </cell>
        </row>
        <row r="2055">
          <cell r="F2055">
            <v>0</v>
          </cell>
        </row>
        <row r="2056">
          <cell r="F2056">
            <v>0</v>
          </cell>
        </row>
        <row r="2057">
          <cell r="F2057">
            <v>0</v>
          </cell>
        </row>
        <row r="2058">
          <cell r="F2058">
            <v>0</v>
          </cell>
        </row>
        <row r="2059">
          <cell r="F2059">
            <v>0</v>
          </cell>
        </row>
        <row r="2060">
          <cell r="F2060">
            <v>0</v>
          </cell>
        </row>
        <row r="2061">
          <cell r="F2061">
            <v>0</v>
          </cell>
        </row>
        <row r="2062">
          <cell r="F2062">
            <v>0</v>
          </cell>
        </row>
        <row r="2063">
          <cell r="F2063">
            <v>0</v>
          </cell>
        </row>
        <row r="2064">
          <cell r="F2064">
            <v>0</v>
          </cell>
        </row>
        <row r="2065">
          <cell r="F2065">
            <v>0</v>
          </cell>
        </row>
        <row r="2066">
          <cell r="F2066">
            <v>0</v>
          </cell>
        </row>
        <row r="2067">
          <cell r="F2067">
            <v>0</v>
          </cell>
        </row>
        <row r="2068">
          <cell r="F2068">
            <v>0</v>
          </cell>
        </row>
        <row r="2069">
          <cell r="F2069">
            <v>0</v>
          </cell>
        </row>
        <row r="2070">
          <cell r="F2070">
            <v>0</v>
          </cell>
        </row>
        <row r="2071">
          <cell r="F2071">
            <v>0</v>
          </cell>
        </row>
        <row r="2072">
          <cell r="F2072">
            <v>0</v>
          </cell>
        </row>
        <row r="2073">
          <cell r="F2073">
            <v>0</v>
          </cell>
        </row>
        <row r="2074">
          <cell r="F2074">
            <v>0</v>
          </cell>
        </row>
        <row r="2075">
          <cell r="F2075">
            <v>0</v>
          </cell>
        </row>
        <row r="2076">
          <cell r="F2076">
            <v>0</v>
          </cell>
        </row>
        <row r="2077">
          <cell r="F2077">
            <v>0</v>
          </cell>
        </row>
        <row r="2078">
          <cell r="F2078">
            <v>0</v>
          </cell>
        </row>
        <row r="2079">
          <cell r="F2079">
            <v>0</v>
          </cell>
        </row>
        <row r="2080">
          <cell r="F2080">
            <v>0</v>
          </cell>
        </row>
        <row r="2081">
          <cell r="F2081">
            <v>0</v>
          </cell>
        </row>
        <row r="2082">
          <cell r="F2082">
            <v>0</v>
          </cell>
        </row>
        <row r="2083">
          <cell r="F2083">
            <v>0</v>
          </cell>
        </row>
        <row r="2084">
          <cell r="F2084">
            <v>0</v>
          </cell>
        </row>
        <row r="2085">
          <cell r="F2085">
            <v>0</v>
          </cell>
        </row>
        <row r="2086">
          <cell r="F2086">
            <v>0</v>
          </cell>
        </row>
        <row r="2087">
          <cell r="F2087">
            <v>0</v>
          </cell>
        </row>
        <row r="2088">
          <cell r="F2088">
            <v>0</v>
          </cell>
        </row>
        <row r="2089">
          <cell r="F2089">
            <v>0</v>
          </cell>
        </row>
        <row r="2090">
          <cell r="F2090">
            <v>0</v>
          </cell>
        </row>
        <row r="2091">
          <cell r="F2091">
            <v>0</v>
          </cell>
        </row>
        <row r="2092">
          <cell r="F2092">
            <v>0</v>
          </cell>
        </row>
        <row r="2093">
          <cell r="F2093">
            <v>0</v>
          </cell>
        </row>
        <row r="2094">
          <cell r="F2094">
            <v>0</v>
          </cell>
        </row>
        <row r="2095">
          <cell r="F2095">
            <v>0</v>
          </cell>
        </row>
        <row r="2096">
          <cell r="F2096">
            <v>0</v>
          </cell>
        </row>
        <row r="2097">
          <cell r="F2097">
            <v>0</v>
          </cell>
        </row>
        <row r="2098">
          <cell r="F2098">
            <v>0</v>
          </cell>
        </row>
        <row r="2099">
          <cell r="F2099">
            <v>0</v>
          </cell>
        </row>
        <row r="2100">
          <cell r="F2100">
            <v>0</v>
          </cell>
        </row>
        <row r="2101">
          <cell r="F2101">
            <v>0</v>
          </cell>
        </row>
        <row r="2102">
          <cell r="F2102">
            <v>0</v>
          </cell>
        </row>
        <row r="2103">
          <cell r="F2103">
            <v>0</v>
          </cell>
        </row>
        <row r="2104">
          <cell r="F2104">
            <v>0</v>
          </cell>
        </row>
        <row r="2105">
          <cell r="F2105">
            <v>0</v>
          </cell>
        </row>
        <row r="2106">
          <cell r="F2106">
            <v>0</v>
          </cell>
        </row>
        <row r="2107">
          <cell r="F2107">
            <v>0</v>
          </cell>
        </row>
        <row r="2108">
          <cell r="F2108">
            <v>0</v>
          </cell>
        </row>
        <row r="2109">
          <cell r="F2109">
            <v>0</v>
          </cell>
        </row>
        <row r="2110">
          <cell r="F2110">
            <v>0</v>
          </cell>
        </row>
        <row r="2111">
          <cell r="F2111">
            <v>0</v>
          </cell>
        </row>
        <row r="2112">
          <cell r="F2112">
            <v>0</v>
          </cell>
        </row>
        <row r="2113">
          <cell r="F2113">
            <v>0</v>
          </cell>
        </row>
        <row r="2114">
          <cell r="F2114">
            <v>0</v>
          </cell>
        </row>
        <row r="2115">
          <cell r="F2115">
            <v>0</v>
          </cell>
        </row>
        <row r="2116">
          <cell r="F2116">
            <v>0</v>
          </cell>
        </row>
        <row r="2117">
          <cell r="F2117">
            <v>0</v>
          </cell>
        </row>
        <row r="2118">
          <cell r="F2118">
            <v>0</v>
          </cell>
        </row>
        <row r="2119">
          <cell r="F2119">
            <v>0</v>
          </cell>
        </row>
        <row r="2120">
          <cell r="F2120">
            <v>0</v>
          </cell>
        </row>
        <row r="2121">
          <cell r="F2121">
            <v>0</v>
          </cell>
        </row>
        <row r="2122">
          <cell r="F2122">
            <v>0</v>
          </cell>
        </row>
        <row r="2123">
          <cell r="F2123">
            <v>0</v>
          </cell>
        </row>
        <row r="2124">
          <cell r="F2124">
            <v>0</v>
          </cell>
        </row>
        <row r="2125">
          <cell r="F2125">
            <v>0</v>
          </cell>
        </row>
        <row r="2126">
          <cell r="F2126">
            <v>0</v>
          </cell>
        </row>
        <row r="2127">
          <cell r="F2127">
            <v>0</v>
          </cell>
        </row>
        <row r="2128">
          <cell r="F2128">
            <v>0</v>
          </cell>
        </row>
        <row r="2129">
          <cell r="F2129">
            <v>0</v>
          </cell>
        </row>
        <row r="2130">
          <cell r="F2130">
            <v>0</v>
          </cell>
        </row>
        <row r="2131">
          <cell r="F2131">
            <v>0</v>
          </cell>
        </row>
        <row r="2132">
          <cell r="F2132">
            <v>0</v>
          </cell>
        </row>
        <row r="2133">
          <cell r="F2133">
            <v>0</v>
          </cell>
        </row>
        <row r="2134">
          <cell r="F2134">
            <v>0</v>
          </cell>
        </row>
        <row r="2135">
          <cell r="F2135">
            <v>0</v>
          </cell>
        </row>
        <row r="2136">
          <cell r="F2136">
            <v>0</v>
          </cell>
        </row>
        <row r="2137">
          <cell r="F2137">
            <v>0</v>
          </cell>
        </row>
        <row r="2138">
          <cell r="F2138">
            <v>0</v>
          </cell>
        </row>
        <row r="2139">
          <cell r="F2139">
            <v>0</v>
          </cell>
        </row>
        <row r="2140">
          <cell r="F2140">
            <v>0</v>
          </cell>
        </row>
        <row r="2141">
          <cell r="F2141">
            <v>0</v>
          </cell>
        </row>
        <row r="2142">
          <cell r="F2142">
            <v>0</v>
          </cell>
        </row>
        <row r="2143">
          <cell r="F2143">
            <v>0</v>
          </cell>
        </row>
        <row r="2144">
          <cell r="F2144">
            <v>0</v>
          </cell>
        </row>
        <row r="2145">
          <cell r="F2145">
            <v>0</v>
          </cell>
        </row>
        <row r="2146">
          <cell r="F2146">
            <v>0</v>
          </cell>
        </row>
        <row r="2147">
          <cell r="F2147">
            <v>0</v>
          </cell>
        </row>
        <row r="2148">
          <cell r="F2148">
            <v>0</v>
          </cell>
        </row>
        <row r="2149">
          <cell r="F2149">
            <v>0</v>
          </cell>
        </row>
        <row r="2150">
          <cell r="F2150">
            <v>0</v>
          </cell>
        </row>
        <row r="2151">
          <cell r="F2151">
            <v>0</v>
          </cell>
        </row>
        <row r="2152">
          <cell r="F2152">
            <v>0</v>
          </cell>
        </row>
        <row r="2153">
          <cell r="F2153">
            <v>0</v>
          </cell>
        </row>
        <row r="2154">
          <cell r="F2154">
            <v>0</v>
          </cell>
        </row>
        <row r="2155">
          <cell r="F2155">
            <v>0</v>
          </cell>
        </row>
        <row r="2156">
          <cell r="F2156">
            <v>0</v>
          </cell>
        </row>
        <row r="2157">
          <cell r="F2157">
            <v>0</v>
          </cell>
        </row>
        <row r="2158">
          <cell r="F2158">
            <v>0</v>
          </cell>
        </row>
        <row r="2159">
          <cell r="F2159">
            <v>0</v>
          </cell>
        </row>
        <row r="2160">
          <cell r="F2160">
            <v>0</v>
          </cell>
        </row>
        <row r="2161">
          <cell r="F2161">
            <v>0</v>
          </cell>
        </row>
        <row r="2162">
          <cell r="F2162">
            <v>0</v>
          </cell>
        </row>
        <row r="2163">
          <cell r="F2163">
            <v>0</v>
          </cell>
        </row>
        <row r="2164">
          <cell r="F2164">
            <v>0</v>
          </cell>
        </row>
        <row r="2165">
          <cell r="F2165">
            <v>0</v>
          </cell>
        </row>
        <row r="2166">
          <cell r="F2166">
            <v>0</v>
          </cell>
        </row>
        <row r="2167">
          <cell r="F2167">
            <v>0</v>
          </cell>
        </row>
        <row r="2168">
          <cell r="F2168">
            <v>0</v>
          </cell>
        </row>
        <row r="2169">
          <cell r="F2169">
            <v>0</v>
          </cell>
        </row>
        <row r="2170">
          <cell r="F2170">
            <v>0</v>
          </cell>
        </row>
        <row r="2171">
          <cell r="F2171">
            <v>0</v>
          </cell>
        </row>
        <row r="2172">
          <cell r="F2172">
            <v>0</v>
          </cell>
        </row>
        <row r="2173">
          <cell r="F2173">
            <v>0</v>
          </cell>
        </row>
        <row r="2174">
          <cell r="F2174">
            <v>0</v>
          </cell>
        </row>
        <row r="2175">
          <cell r="F2175">
            <v>0</v>
          </cell>
        </row>
        <row r="2176">
          <cell r="F2176">
            <v>0</v>
          </cell>
        </row>
        <row r="2177">
          <cell r="F2177">
            <v>0</v>
          </cell>
        </row>
        <row r="2178">
          <cell r="F2178">
            <v>0</v>
          </cell>
        </row>
        <row r="2179">
          <cell r="F2179">
            <v>0</v>
          </cell>
        </row>
        <row r="2180">
          <cell r="F2180">
            <v>0</v>
          </cell>
        </row>
        <row r="2181">
          <cell r="F2181">
            <v>0</v>
          </cell>
        </row>
        <row r="2182">
          <cell r="F2182">
            <v>0</v>
          </cell>
        </row>
        <row r="2183">
          <cell r="F2183">
            <v>0</v>
          </cell>
        </row>
        <row r="2184">
          <cell r="F2184">
            <v>0</v>
          </cell>
        </row>
        <row r="2185">
          <cell r="F2185">
            <v>0</v>
          </cell>
        </row>
        <row r="2186">
          <cell r="F2186">
            <v>0</v>
          </cell>
        </row>
        <row r="2187">
          <cell r="F2187">
            <v>0</v>
          </cell>
        </row>
        <row r="2188">
          <cell r="F2188">
            <v>0</v>
          </cell>
        </row>
        <row r="2189">
          <cell r="F2189">
            <v>0</v>
          </cell>
        </row>
        <row r="2190">
          <cell r="F2190">
            <v>0</v>
          </cell>
        </row>
        <row r="2191">
          <cell r="F2191">
            <v>0</v>
          </cell>
        </row>
        <row r="2192">
          <cell r="F2192">
            <v>0</v>
          </cell>
        </row>
        <row r="2193">
          <cell r="F2193">
            <v>0</v>
          </cell>
        </row>
        <row r="2194">
          <cell r="F2194">
            <v>0</v>
          </cell>
        </row>
        <row r="2195">
          <cell r="F2195">
            <v>0</v>
          </cell>
        </row>
        <row r="2196">
          <cell r="F2196">
            <v>0</v>
          </cell>
        </row>
        <row r="2197">
          <cell r="F2197">
            <v>0</v>
          </cell>
        </row>
        <row r="2198">
          <cell r="F2198">
            <v>0</v>
          </cell>
        </row>
        <row r="2199">
          <cell r="F2199">
            <v>0</v>
          </cell>
        </row>
        <row r="2200">
          <cell r="F2200">
            <v>0</v>
          </cell>
        </row>
        <row r="2201">
          <cell r="F2201">
            <v>0</v>
          </cell>
        </row>
        <row r="2202">
          <cell r="F2202">
            <v>0</v>
          </cell>
        </row>
        <row r="2203">
          <cell r="F2203">
            <v>0</v>
          </cell>
        </row>
        <row r="2204">
          <cell r="F2204">
            <v>0</v>
          </cell>
        </row>
        <row r="2205">
          <cell r="F2205">
            <v>0</v>
          </cell>
        </row>
        <row r="2206">
          <cell r="F2206">
            <v>0</v>
          </cell>
        </row>
        <row r="2207">
          <cell r="F2207">
            <v>0</v>
          </cell>
        </row>
        <row r="2208">
          <cell r="F2208">
            <v>0</v>
          </cell>
        </row>
        <row r="2209">
          <cell r="F2209">
            <v>0</v>
          </cell>
        </row>
        <row r="2210">
          <cell r="F2210">
            <v>0</v>
          </cell>
        </row>
        <row r="2211">
          <cell r="F2211">
            <v>0</v>
          </cell>
        </row>
        <row r="2212">
          <cell r="F2212">
            <v>0</v>
          </cell>
        </row>
        <row r="2213">
          <cell r="F2213">
            <v>0</v>
          </cell>
        </row>
        <row r="2214">
          <cell r="F2214">
            <v>0</v>
          </cell>
        </row>
        <row r="2215">
          <cell r="F2215">
            <v>0</v>
          </cell>
        </row>
        <row r="2216">
          <cell r="F2216">
            <v>0</v>
          </cell>
        </row>
        <row r="2217">
          <cell r="F2217">
            <v>0</v>
          </cell>
        </row>
        <row r="2218">
          <cell r="F2218">
            <v>0</v>
          </cell>
        </row>
        <row r="2219">
          <cell r="F2219">
            <v>0</v>
          </cell>
        </row>
        <row r="2220">
          <cell r="F2220">
            <v>0</v>
          </cell>
        </row>
        <row r="2221">
          <cell r="F2221">
            <v>0</v>
          </cell>
        </row>
        <row r="2222">
          <cell r="F2222">
            <v>0</v>
          </cell>
        </row>
        <row r="2223">
          <cell r="F2223">
            <v>0</v>
          </cell>
        </row>
        <row r="2224">
          <cell r="F2224">
            <v>0</v>
          </cell>
        </row>
        <row r="2225">
          <cell r="F2225">
            <v>0</v>
          </cell>
        </row>
        <row r="2226">
          <cell r="F2226">
            <v>0</v>
          </cell>
        </row>
        <row r="2227">
          <cell r="F2227">
            <v>0</v>
          </cell>
        </row>
        <row r="2228">
          <cell r="F2228">
            <v>0</v>
          </cell>
        </row>
        <row r="2229">
          <cell r="F2229">
            <v>0</v>
          </cell>
        </row>
        <row r="2230">
          <cell r="F2230">
            <v>0</v>
          </cell>
        </row>
        <row r="2231">
          <cell r="F2231">
            <v>0</v>
          </cell>
        </row>
        <row r="2232">
          <cell r="F2232">
            <v>0</v>
          </cell>
        </row>
        <row r="2233">
          <cell r="F2233">
            <v>0</v>
          </cell>
        </row>
        <row r="2234">
          <cell r="F2234">
            <v>0</v>
          </cell>
        </row>
        <row r="2235">
          <cell r="F2235">
            <v>0</v>
          </cell>
        </row>
        <row r="2236">
          <cell r="F2236">
            <v>0</v>
          </cell>
        </row>
        <row r="2237">
          <cell r="F2237">
            <v>0</v>
          </cell>
        </row>
        <row r="2238">
          <cell r="F2238">
            <v>0</v>
          </cell>
        </row>
        <row r="2239">
          <cell r="F2239">
            <v>0</v>
          </cell>
        </row>
        <row r="2240">
          <cell r="F2240">
            <v>0</v>
          </cell>
        </row>
        <row r="2241">
          <cell r="F2241">
            <v>0</v>
          </cell>
        </row>
        <row r="2242">
          <cell r="F2242">
            <v>0</v>
          </cell>
        </row>
        <row r="2243">
          <cell r="F2243">
            <v>0</v>
          </cell>
        </row>
        <row r="2244">
          <cell r="F2244">
            <v>0</v>
          </cell>
        </row>
        <row r="2245">
          <cell r="F2245">
            <v>0</v>
          </cell>
        </row>
        <row r="2246">
          <cell r="F2246">
            <v>0</v>
          </cell>
        </row>
        <row r="2247">
          <cell r="F2247">
            <v>0</v>
          </cell>
        </row>
        <row r="2248">
          <cell r="F2248">
            <v>0</v>
          </cell>
        </row>
        <row r="2249">
          <cell r="F2249">
            <v>0</v>
          </cell>
        </row>
        <row r="2250">
          <cell r="F2250">
            <v>0</v>
          </cell>
        </row>
        <row r="2251">
          <cell r="F2251">
            <v>0</v>
          </cell>
        </row>
        <row r="2252">
          <cell r="F2252">
            <v>0</v>
          </cell>
        </row>
        <row r="2253">
          <cell r="F2253">
            <v>0</v>
          </cell>
        </row>
        <row r="2254">
          <cell r="F2254">
            <v>0</v>
          </cell>
        </row>
        <row r="2255">
          <cell r="F2255">
            <v>0</v>
          </cell>
        </row>
        <row r="2256">
          <cell r="F2256">
            <v>0</v>
          </cell>
        </row>
        <row r="2257">
          <cell r="F2257">
            <v>0</v>
          </cell>
        </row>
        <row r="2258">
          <cell r="F2258">
            <v>0</v>
          </cell>
        </row>
        <row r="2259">
          <cell r="F2259">
            <v>0</v>
          </cell>
        </row>
        <row r="2260">
          <cell r="F2260">
            <v>0</v>
          </cell>
        </row>
        <row r="2261">
          <cell r="F2261">
            <v>0</v>
          </cell>
        </row>
        <row r="2262">
          <cell r="F2262">
            <v>0</v>
          </cell>
        </row>
        <row r="2263">
          <cell r="F2263">
            <v>0</v>
          </cell>
        </row>
        <row r="2264">
          <cell r="F2264">
            <v>0</v>
          </cell>
        </row>
        <row r="2265">
          <cell r="F2265">
            <v>0</v>
          </cell>
        </row>
        <row r="2266">
          <cell r="F2266">
            <v>0</v>
          </cell>
        </row>
        <row r="2267">
          <cell r="F2267">
            <v>0</v>
          </cell>
        </row>
        <row r="2268">
          <cell r="F2268">
            <v>0</v>
          </cell>
        </row>
        <row r="2269">
          <cell r="F2269">
            <v>0</v>
          </cell>
        </row>
        <row r="2270">
          <cell r="F2270">
            <v>0</v>
          </cell>
        </row>
        <row r="2271">
          <cell r="F2271">
            <v>0</v>
          </cell>
        </row>
        <row r="2272">
          <cell r="F2272">
            <v>0</v>
          </cell>
        </row>
        <row r="2273">
          <cell r="F2273">
            <v>0</v>
          </cell>
        </row>
        <row r="2274">
          <cell r="F2274">
            <v>0</v>
          </cell>
        </row>
        <row r="2275">
          <cell r="F2275">
            <v>0</v>
          </cell>
        </row>
        <row r="2276">
          <cell r="F2276">
            <v>0</v>
          </cell>
        </row>
        <row r="2277">
          <cell r="F2277">
            <v>0</v>
          </cell>
        </row>
        <row r="2278">
          <cell r="F2278">
            <v>0</v>
          </cell>
        </row>
        <row r="2279">
          <cell r="F2279">
            <v>0</v>
          </cell>
        </row>
        <row r="2280">
          <cell r="F2280">
            <v>0</v>
          </cell>
        </row>
        <row r="2281">
          <cell r="F2281">
            <v>0</v>
          </cell>
        </row>
        <row r="2282">
          <cell r="F2282">
            <v>0</v>
          </cell>
        </row>
        <row r="2283">
          <cell r="F2283">
            <v>0</v>
          </cell>
        </row>
        <row r="2284">
          <cell r="F2284">
            <v>0</v>
          </cell>
        </row>
        <row r="2285">
          <cell r="F2285">
            <v>0</v>
          </cell>
        </row>
        <row r="2286">
          <cell r="F2286">
            <v>0</v>
          </cell>
        </row>
        <row r="2287">
          <cell r="F2287">
            <v>0</v>
          </cell>
        </row>
        <row r="2288">
          <cell r="F2288">
            <v>0</v>
          </cell>
        </row>
        <row r="2289">
          <cell r="F2289">
            <v>0</v>
          </cell>
        </row>
        <row r="2290">
          <cell r="F2290">
            <v>0</v>
          </cell>
        </row>
        <row r="2291">
          <cell r="F2291">
            <v>0</v>
          </cell>
        </row>
        <row r="2292">
          <cell r="F2292">
            <v>0</v>
          </cell>
        </row>
        <row r="2293">
          <cell r="F2293">
            <v>0</v>
          </cell>
        </row>
        <row r="2294">
          <cell r="F2294">
            <v>0</v>
          </cell>
        </row>
        <row r="2295">
          <cell r="F2295">
            <v>0</v>
          </cell>
        </row>
        <row r="2296">
          <cell r="F2296">
            <v>0</v>
          </cell>
        </row>
        <row r="2297">
          <cell r="F2297">
            <v>0</v>
          </cell>
        </row>
        <row r="2298">
          <cell r="F2298">
            <v>0</v>
          </cell>
        </row>
        <row r="2299">
          <cell r="F2299">
            <v>0</v>
          </cell>
        </row>
        <row r="2300">
          <cell r="F2300">
            <v>0</v>
          </cell>
        </row>
        <row r="2301">
          <cell r="F2301">
            <v>0</v>
          </cell>
        </row>
        <row r="2302">
          <cell r="F2302">
            <v>0</v>
          </cell>
        </row>
        <row r="2303">
          <cell r="F2303">
            <v>0</v>
          </cell>
        </row>
        <row r="2304">
          <cell r="F2304">
            <v>0</v>
          </cell>
        </row>
        <row r="2305">
          <cell r="F2305">
            <v>0</v>
          </cell>
        </row>
        <row r="2306">
          <cell r="F2306">
            <v>0</v>
          </cell>
        </row>
        <row r="2307">
          <cell r="F2307">
            <v>0</v>
          </cell>
        </row>
        <row r="2308">
          <cell r="F2308">
            <v>0</v>
          </cell>
        </row>
        <row r="2309">
          <cell r="F2309">
            <v>0</v>
          </cell>
        </row>
        <row r="2310">
          <cell r="F2310">
            <v>0</v>
          </cell>
        </row>
        <row r="2311">
          <cell r="F2311">
            <v>0</v>
          </cell>
        </row>
        <row r="2312">
          <cell r="F2312">
            <v>0</v>
          </cell>
        </row>
        <row r="2313">
          <cell r="F2313">
            <v>0</v>
          </cell>
        </row>
        <row r="2314">
          <cell r="F2314">
            <v>0</v>
          </cell>
        </row>
        <row r="2315">
          <cell r="F2315">
            <v>0</v>
          </cell>
        </row>
        <row r="2316">
          <cell r="F2316">
            <v>0</v>
          </cell>
        </row>
        <row r="2317">
          <cell r="F2317">
            <v>0</v>
          </cell>
        </row>
        <row r="2318">
          <cell r="F2318">
            <v>0</v>
          </cell>
        </row>
        <row r="2319">
          <cell r="F2319">
            <v>0</v>
          </cell>
        </row>
        <row r="2320">
          <cell r="F2320">
            <v>0</v>
          </cell>
        </row>
        <row r="2321">
          <cell r="F2321">
            <v>0</v>
          </cell>
        </row>
        <row r="2322">
          <cell r="F2322">
            <v>0</v>
          </cell>
        </row>
        <row r="2323">
          <cell r="F2323">
            <v>0</v>
          </cell>
        </row>
        <row r="2324">
          <cell r="F2324">
            <v>0</v>
          </cell>
        </row>
        <row r="2325">
          <cell r="F2325">
            <v>0</v>
          </cell>
        </row>
        <row r="2326">
          <cell r="F2326">
            <v>0</v>
          </cell>
        </row>
        <row r="2327">
          <cell r="F2327">
            <v>0</v>
          </cell>
        </row>
        <row r="2328">
          <cell r="F2328">
            <v>0</v>
          </cell>
        </row>
        <row r="2329">
          <cell r="F2329">
            <v>0</v>
          </cell>
        </row>
        <row r="2330">
          <cell r="F2330">
            <v>0</v>
          </cell>
        </row>
        <row r="2331">
          <cell r="F2331">
            <v>0</v>
          </cell>
        </row>
        <row r="2332">
          <cell r="F2332">
            <v>0</v>
          </cell>
        </row>
        <row r="2333">
          <cell r="F2333">
            <v>0</v>
          </cell>
        </row>
        <row r="2334">
          <cell r="F2334">
            <v>0</v>
          </cell>
        </row>
        <row r="2335">
          <cell r="F2335">
            <v>0</v>
          </cell>
        </row>
        <row r="2336">
          <cell r="F2336">
            <v>0</v>
          </cell>
        </row>
        <row r="2337">
          <cell r="F2337">
            <v>0</v>
          </cell>
        </row>
        <row r="2338">
          <cell r="F2338">
            <v>0</v>
          </cell>
        </row>
        <row r="2339">
          <cell r="F2339">
            <v>0</v>
          </cell>
        </row>
        <row r="2340">
          <cell r="F2340">
            <v>0</v>
          </cell>
        </row>
        <row r="2341">
          <cell r="F2341">
            <v>0</v>
          </cell>
        </row>
        <row r="2342">
          <cell r="F2342">
            <v>0</v>
          </cell>
        </row>
        <row r="2343">
          <cell r="F2343">
            <v>0</v>
          </cell>
        </row>
        <row r="2344">
          <cell r="F2344">
            <v>0</v>
          </cell>
        </row>
        <row r="2345">
          <cell r="F2345">
            <v>0</v>
          </cell>
        </row>
        <row r="2346">
          <cell r="F2346">
            <v>0</v>
          </cell>
        </row>
        <row r="2347">
          <cell r="F2347">
            <v>0</v>
          </cell>
        </row>
        <row r="2348">
          <cell r="F2348">
            <v>0</v>
          </cell>
        </row>
        <row r="2349">
          <cell r="F2349">
            <v>0</v>
          </cell>
        </row>
        <row r="2350">
          <cell r="F2350">
            <v>0</v>
          </cell>
        </row>
        <row r="2351">
          <cell r="F2351">
            <v>0</v>
          </cell>
        </row>
        <row r="2352">
          <cell r="F2352">
            <v>0</v>
          </cell>
        </row>
        <row r="2353">
          <cell r="F2353">
            <v>0</v>
          </cell>
        </row>
        <row r="2354">
          <cell r="F2354">
            <v>0</v>
          </cell>
        </row>
        <row r="2355">
          <cell r="F2355">
            <v>0</v>
          </cell>
        </row>
        <row r="2356">
          <cell r="F2356">
            <v>0</v>
          </cell>
        </row>
        <row r="2357">
          <cell r="F2357">
            <v>0</v>
          </cell>
        </row>
        <row r="2358">
          <cell r="F2358">
            <v>0</v>
          </cell>
        </row>
        <row r="2359">
          <cell r="F2359">
            <v>0</v>
          </cell>
        </row>
        <row r="2360">
          <cell r="F2360">
            <v>0</v>
          </cell>
        </row>
        <row r="2361">
          <cell r="F2361">
            <v>0</v>
          </cell>
        </row>
        <row r="2362">
          <cell r="F2362">
            <v>0</v>
          </cell>
        </row>
        <row r="2363">
          <cell r="F2363">
            <v>0</v>
          </cell>
        </row>
        <row r="2364">
          <cell r="F2364">
            <v>0</v>
          </cell>
        </row>
        <row r="2365">
          <cell r="F2365">
            <v>0</v>
          </cell>
        </row>
        <row r="2366">
          <cell r="F2366">
            <v>0</v>
          </cell>
        </row>
        <row r="2367">
          <cell r="F2367">
            <v>0</v>
          </cell>
        </row>
        <row r="2368">
          <cell r="F2368">
            <v>0</v>
          </cell>
        </row>
        <row r="2369">
          <cell r="F2369">
            <v>0</v>
          </cell>
        </row>
        <row r="2370">
          <cell r="F2370">
            <v>0</v>
          </cell>
        </row>
        <row r="2371">
          <cell r="F2371">
            <v>0</v>
          </cell>
        </row>
        <row r="2372">
          <cell r="F2372">
            <v>0</v>
          </cell>
        </row>
        <row r="2373">
          <cell r="F2373">
            <v>0</v>
          </cell>
        </row>
        <row r="2374">
          <cell r="F2374">
            <v>0</v>
          </cell>
        </row>
        <row r="2375">
          <cell r="F2375">
            <v>0</v>
          </cell>
        </row>
        <row r="2376">
          <cell r="F2376">
            <v>0</v>
          </cell>
        </row>
        <row r="2377">
          <cell r="F2377">
            <v>0</v>
          </cell>
        </row>
        <row r="2378">
          <cell r="F2378">
            <v>0</v>
          </cell>
        </row>
        <row r="2379">
          <cell r="F2379">
            <v>0</v>
          </cell>
        </row>
        <row r="2380">
          <cell r="F2380">
            <v>0</v>
          </cell>
        </row>
        <row r="2381">
          <cell r="F2381">
            <v>0</v>
          </cell>
        </row>
        <row r="2382">
          <cell r="F2382">
            <v>0</v>
          </cell>
        </row>
        <row r="2383">
          <cell r="F2383">
            <v>0</v>
          </cell>
        </row>
        <row r="2384">
          <cell r="F2384">
            <v>0</v>
          </cell>
        </row>
        <row r="2385">
          <cell r="F2385">
            <v>0</v>
          </cell>
        </row>
        <row r="2386">
          <cell r="F2386">
            <v>0</v>
          </cell>
        </row>
        <row r="2387">
          <cell r="F2387">
            <v>0</v>
          </cell>
        </row>
        <row r="2388">
          <cell r="F2388">
            <v>0</v>
          </cell>
        </row>
        <row r="2389">
          <cell r="F2389">
            <v>0</v>
          </cell>
        </row>
        <row r="2390">
          <cell r="F2390">
            <v>0</v>
          </cell>
        </row>
        <row r="2391">
          <cell r="F2391">
            <v>0</v>
          </cell>
        </row>
        <row r="2392">
          <cell r="F2392">
            <v>0</v>
          </cell>
        </row>
        <row r="2393">
          <cell r="F2393">
            <v>0</v>
          </cell>
        </row>
        <row r="2394">
          <cell r="F2394">
            <v>0</v>
          </cell>
        </row>
        <row r="2395">
          <cell r="F2395">
            <v>0</v>
          </cell>
        </row>
        <row r="2396">
          <cell r="F2396">
            <v>0</v>
          </cell>
        </row>
        <row r="2397">
          <cell r="F2397">
            <v>0</v>
          </cell>
        </row>
        <row r="2398">
          <cell r="F2398">
            <v>0</v>
          </cell>
        </row>
        <row r="2399">
          <cell r="F2399">
            <v>0</v>
          </cell>
        </row>
        <row r="2400">
          <cell r="F2400">
            <v>0</v>
          </cell>
        </row>
        <row r="2401">
          <cell r="F2401">
            <v>0</v>
          </cell>
        </row>
        <row r="2402">
          <cell r="F2402">
            <v>0</v>
          </cell>
        </row>
        <row r="2403">
          <cell r="F2403">
            <v>0</v>
          </cell>
        </row>
        <row r="2404">
          <cell r="F2404">
            <v>0</v>
          </cell>
        </row>
        <row r="2405">
          <cell r="F2405">
            <v>0</v>
          </cell>
        </row>
        <row r="2406">
          <cell r="F2406">
            <v>0</v>
          </cell>
        </row>
        <row r="2407">
          <cell r="F2407">
            <v>0</v>
          </cell>
        </row>
        <row r="2408">
          <cell r="F2408">
            <v>0</v>
          </cell>
        </row>
        <row r="2409">
          <cell r="F2409">
            <v>0</v>
          </cell>
        </row>
        <row r="2410">
          <cell r="F2410">
            <v>0</v>
          </cell>
        </row>
        <row r="2411">
          <cell r="F2411">
            <v>0</v>
          </cell>
        </row>
        <row r="2412">
          <cell r="F2412">
            <v>0</v>
          </cell>
        </row>
        <row r="2413">
          <cell r="F2413">
            <v>0</v>
          </cell>
        </row>
        <row r="2414">
          <cell r="F2414">
            <v>0</v>
          </cell>
        </row>
        <row r="2415">
          <cell r="F2415">
            <v>0</v>
          </cell>
        </row>
        <row r="2416">
          <cell r="F2416">
            <v>0</v>
          </cell>
        </row>
        <row r="2417">
          <cell r="F2417">
            <v>0</v>
          </cell>
        </row>
        <row r="2418">
          <cell r="F2418">
            <v>0</v>
          </cell>
        </row>
        <row r="2419">
          <cell r="F2419">
            <v>0</v>
          </cell>
        </row>
        <row r="2420">
          <cell r="F2420">
            <v>0</v>
          </cell>
        </row>
        <row r="2421">
          <cell r="F2421">
            <v>0</v>
          </cell>
        </row>
        <row r="2422">
          <cell r="F2422">
            <v>0</v>
          </cell>
        </row>
        <row r="2423">
          <cell r="F2423">
            <v>0</v>
          </cell>
        </row>
        <row r="2424">
          <cell r="F2424">
            <v>0</v>
          </cell>
        </row>
        <row r="2425">
          <cell r="F2425">
            <v>0</v>
          </cell>
        </row>
        <row r="2426">
          <cell r="F2426">
            <v>0</v>
          </cell>
        </row>
        <row r="2427">
          <cell r="F2427">
            <v>0</v>
          </cell>
        </row>
        <row r="2428">
          <cell r="F2428">
            <v>0</v>
          </cell>
        </row>
        <row r="2429">
          <cell r="F2429">
            <v>0</v>
          </cell>
        </row>
        <row r="2430">
          <cell r="F2430">
            <v>0</v>
          </cell>
        </row>
        <row r="2431">
          <cell r="F2431">
            <v>0</v>
          </cell>
        </row>
        <row r="2432">
          <cell r="F2432">
            <v>0</v>
          </cell>
        </row>
        <row r="2433">
          <cell r="F2433">
            <v>0</v>
          </cell>
        </row>
        <row r="2434">
          <cell r="F2434">
            <v>0</v>
          </cell>
        </row>
        <row r="2435">
          <cell r="F2435">
            <v>0</v>
          </cell>
        </row>
        <row r="2436">
          <cell r="F2436">
            <v>0</v>
          </cell>
        </row>
        <row r="2437">
          <cell r="F2437">
            <v>0</v>
          </cell>
        </row>
        <row r="2438">
          <cell r="F2438">
            <v>0</v>
          </cell>
        </row>
        <row r="2439">
          <cell r="F2439">
            <v>0</v>
          </cell>
        </row>
        <row r="2440">
          <cell r="F2440">
            <v>0</v>
          </cell>
        </row>
        <row r="2441">
          <cell r="F2441">
            <v>0</v>
          </cell>
        </row>
        <row r="2442">
          <cell r="F2442">
            <v>0</v>
          </cell>
        </row>
        <row r="2443">
          <cell r="F2443">
            <v>0</v>
          </cell>
        </row>
        <row r="2444">
          <cell r="F2444">
            <v>0</v>
          </cell>
        </row>
        <row r="2445">
          <cell r="F2445">
            <v>0</v>
          </cell>
        </row>
        <row r="2446">
          <cell r="F2446">
            <v>0</v>
          </cell>
        </row>
        <row r="2447">
          <cell r="F2447">
            <v>0</v>
          </cell>
        </row>
        <row r="2448">
          <cell r="F2448">
            <v>0</v>
          </cell>
        </row>
        <row r="2449">
          <cell r="F2449">
            <v>0</v>
          </cell>
        </row>
        <row r="2450">
          <cell r="F2450">
            <v>0</v>
          </cell>
        </row>
        <row r="2451">
          <cell r="F2451">
            <v>0</v>
          </cell>
        </row>
        <row r="2452">
          <cell r="F2452">
            <v>0</v>
          </cell>
        </row>
        <row r="2453">
          <cell r="F2453">
            <v>0</v>
          </cell>
        </row>
        <row r="2454">
          <cell r="F2454">
            <v>0</v>
          </cell>
        </row>
        <row r="2455">
          <cell r="F2455">
            <v>0</v>
          </cell>
        </row>
        <row r="2456">
          <cell r="F2456">
            <v>0</v>
          </cell>
        </row>
        <row r="2457">
          <cell r="F2457">
            <v>0</v>
          </cell>
        </row>
        <row r="2458">
          <cell r="F2458">
            <v>0</v>
          </cell>
        </row>
        <row r="2459">
          <cell r="F2459">
            <v>0</v>
          </cell>
        </row>
        <row r="2460">
          <cell r="F2460">
            <v>0</v>
          </cell>
        </row>
        <row r="2461">
          <cell r="F2461">
            <v>0</v>
          </cell>
        </row>
        <row r="2462">
          <cell r="F2462">
            <v>0</v>
          </cell>
        </row>
        <row r="2463">
          <cell r="F2463">
            <v>0</v>
          </cell>
        </row>
        <row r="2464">
          <cell r="F2464">
            <v>0</v>
          </cell>
        </row>
        <row r="2465">
          <cell r="F2465">
            <v>0</v>
          </cell>
        </row>
        <row r="2466">
          <cell r="F2466">
            <v>0</v>
          </cell>
        </row>
        <row r="2467">
          <cell r="F2467">
            <v>0</v>
          </cell>
        </row>
        <row r="2468">
          <cell r="F2468">
            <v>0</v>
          </cell>
        </row>
        <row r="2469">
          <cell r="F2469">
            <v>0</v>
          </cell>
        </row>
        <row r="2470">
          <cell r="F2470">
            <v>0</v>
          </cell>
        </row>
        <row r="2471">
          <cell r="F2471">
            <v>0</v>
          </cell>
        </row>
        <row r="2472">
          <cell r="F2472">
            <v>0</v>
          </cell>
        </row>
        <row r="2473">
          <cell r="F2473">
            <v>0</v>
          </cell>
        </row>
        <row r="2474">
          <cell r="F2474">
            <v>0</v>
          </cell>
        </row>
        <row r="2475">
          <cell r="F2475">
            <v>0</v>
          </cell>
        </row>
        <row r="2476">
          <cell r="F2476">
            <v>0</v>
          </cell>
        </row>
        <row r="2477">
          <cell r="F2477">
            <v>0</v>
          </cell>
        </row>
        <row r="2478">
          <cell r="F2478">
            <v>0</v>
          </cell>
        </row>
        <row r="2479">
          <cell r="F2479">
            <v>0</v>
          </cell>
        </row>
        <row r="2480">
          <cell r="F2480">
            <v>0</v>
          </cell>
        </row>
        <row r="2481">
          <cell r="F2481">
            <v>0</v>
          </cell>
        </row>
        <row r="2482">
          <cell r="F2482">
            <v>0</v>
          </cell>
        </row>
        <row r="2483">
          <cell r="F2483">
            <v>0</v>
          </cell>
        </row>
        <row r="2484">
          <cell r="F2484">
            <v>0</v>
          </cell>
        </row>
        <row r="2485">
          <cell r="F2485">
            <v>0</v>
          </cell>
        </row>
        <row r="2486">
          <cell r="F2486">
            <v>0</v>
          </cell>
        </row>
        <row r="2487">
          <cell r="F2487">
            <v>0</v>
          </cell>
        </row>
        <row r="2488">
          <cell r="F2488">
            <v>0</v>
          </cell>
        </row>
        <row r="2489">
          <cell r="F2489">
            <v>0</v>
          </cell>
        </row>
        <row r="2490">
          <cell r="F2490">
            <v>0</v>
          </cell>
        </row>
        <row r="2491">
          <cell r="F2491">
            <v>0</v>
          </cell>
        </row>
        <row r="2492">
          <cell r="F2492">
            <v>0</v>
          </cell>
        </row>
        <row r="2493">
          <cell r="F2493">
            <v>0</v>
          </cell>
        </row>
        <row r="2494">
          <cell r="F2494">
            <v>0</v>
          </cell>
        </row>
        <row r="2495">
          <cell r="F2495">
            <v>0</v>
          </cell>
        </row>
        <row r="2496">
          <cell r="F2496">
            <v>0</v>
          </cell>
        </row>
        <row r="2497">
          <cell r="F2497">
            <v>0</v>
          </cell>
        </row>
        <row r="2498">
          <cell r="F2498">
            <v>0</v>
          </cell>
        </row>
        <row r="2499">
          <cell r="F2499">
            <v>0</v>
          </cell>
        </row>
        <row r="2500">
          <cell r="F2500">
            <v>0</v>
          </cell>
        </row>
        <row r="2501">
          <cell r="F2501">
            <v>0</v>
          </cell>
        </row>
        <row r="2502">
          <cell r="F2502">
            <v>0</v>
          </cell>
        </row>
        <row r="2503">
          <cell r="F2503">
            <v>0</v>
          </cell>
        </row>
        <row r="2504">
          <cell r="F2504">
            <v>0</v>
          </cell>
        </row>
        <row r="2505">
          <cell r="F2505">
            <v>0</v>
          </cell>
        </row>
        <row r="2506">
          <cell r="F2506">
            <v>0</v>
          </cell>
        </row>
        <row r="2507">
          <cell r="F2507">
            <v>0</v>
          </cell>
        </row>
        <row r="2508">
          <cell r="F2508">
            <v>0</v>
          </cell>
        </row>
        <row r="2509">
          <cell r="F2509">
            <v>0</v>
          </cell>
        </row>
        <row r="2510">
          <cell r="F2510">
            <v>0</v>
          </cell>
        </row>
        <row r="2511">
          <cell r="F2511">
            <v>0</v>
          </cell>
        </row>
        <row r="2512">
          <cell r="F2512">
            <v>0</v>
          </cell>
        </row>
        <row r="2513">
          <cell r="F2513">
            <v>0</v>
          </cell>
        </row>
        <row r="2514">
          <cell r="F2514">
            <v>0</v>
          </cell>
        </row>
      </sheetData>
      <sheetData sheetId="2">
        <row r="13">
          <cell r="U13" t="str">
            <v>AAES</v>
          </cell>
        </row>
      </sheetData>
      <sheetData sheetId="3">
        <row r="6">
          <cell r="AA6">
            <v>0</v>
          </cell>
        </row>
      </sheetData>
      <sheetData sheetId="4">
        <row r="4">
          <cell r="T4">
            <v>42736</v>
          </cell>
        </row>
        <row r="22">
          <cell r="R22">
            <v>1</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ashboard"/>
      <sheetName val="1-Trade Log"/>
      <sheetName val="Trade Review"/>
      <sheetName val="2-Stock Position"/>
      <sheetName val="3-Monthly Report"/>
      <sheetName val="4-Bank Transfers"/>
      <sheetName val="5-Dividends"/>
      <sheetName val="Watchlist"/>
      <sheetName val="6-Trade Plan"/>
      <sheetName val="Update"/>
      <sheetName val="Sheet1"/>
      <sheetName val="Archive &amp; Settings"/>
    </sheetNames>
    <sheetDataSet>
      <sheetData sheetId="0" refreshError="1"/>
      <sheetData sheetId="1" refreshError="1"/>
      <sheetData sheetId="2">
        <row r="2">
          <cell r="F2" t="str">
            <v>Bryan Dawi</v>
          </cell>
        </row>
        <row r="15">
          <cell r="D15">
            <v>42249</v>
          </cell>
          <cell r="F15" t="str">
            <v>BUY</v>
          </cell>
          <cell r="H15">
            <v>725.68940493468801</v>
          </cell>
          <cell r="U15">
            <v>0</v>
          </cell>
          <cell r="AD15">
            <v>0</v>
          </cell>
        </row>
        <row r="16">
          <cell r="D16">
            <v>42263</v>
          </cell>
          <cell r="F16" t="str">
            <v>BUY</v>
          </cell>
          <cell r="H16">
            <v>21052.63157894737</v>
          </cell>
          <cell r="U16">
            <v>0</v>
          </cell>
          <cell r="AD16">
            <v>0</v>
          </cell>
        </row>
        <row r="17">
          <cell r="D17">
            <v>42263</v>
          </cell>
          <cell r="F17" t="str">
            <v>BUY</v>
          </cell>
          <cell r="H17">
            <v>13.140604467805518</v>
          </cell>
          <cell r="U17">
            <v>0</v>
          </cell>
          <cell r="AD17">
            <v>0</v>
          </cell>
        </row>
        <row r="18">
          <cell r="D18">
            <v>42265</v>
          </cell>
          <cell r="F18" t="str">
            <v>BUY</v>
          </cell>
          <cell r="H18">
            <v>14285.714285714286</v>
          </cell>
          <cell r="U18">
            <v>0</v>
          </cell>
          <cell r="AD18">
            <v>0</v>
          </cell>
        </row>
        <row r="19">
          <cell r="D19">
            <v>42265</v>
          </cell>
          <cell r="F19" t="str">
            <v>BUY</v>
          </cell>
          <cell r="H19">
            <v>1394.7001394700139</v>
          </cell>
          <cell r="U19">
            <v>0</v>
          </cell>
          <cell r="AD19">
            <v>0</v>
          </cell>
        </row>
        <row r="20">
          <cell r="D20">
            <v>42265</v>
          </cell>
          <cell r="F20" t="str">
            <v>SELL</v>
          </cell>
          <cell r="H20">
            <v>21052.63157894737</v>
          </cell>
          <cell r="U20">
            <v>-14.676842105263859</v>
          </cell>
          <cell r="AD20">
            <v>1</v>
          </cell>
        </row>
        <row r="21">
          <cell r="D21">
            <v>42269</v>
          </cell>
          <cell r="F21" t="str">
            <v>BUY</v>
          </cell>
          <cell r="H21">
            <v>41666.666666666672</v>
          </cell>
          <cell r="U21">
            <v>0</v>
          </cell>
          <cell r="AD21">
            <v>0</v>
          </cell>
        </row>
        <row r="22">
          <cell r="D22">
            <v>42269</v>
          </cell>
          <cell r="F22" t="str">
            <v>SELL</v>
          </cell>
          <cell r="H22">
            <v>725.68940493468801</v>
          </cell>
          <cell r="U22">
            <v>3218.0588388969554</v>
          </cell>
          <cell r="AD22">
            <v>2</v>
          </cell>
        </row>
        <row r="23">
          <cell r="D23">
            <v>42270</v>
          </cell>
          <cell r="F23" t="str">
            <v>BUY</v>
          </cell>
          <cell r="H23">
            <v>497.51243781094524</v>
          </cell>
          <cell r="U23">
            <v>0</v>
          </cell>
          <cell r="AD23">
            <v>0</v>
          </cell>
        </row>
        <row r="24">
          <cell r="D24">
            <v>42271</v>
          </cell>
          <cell r="F24" t="str">
            <v>SELL</v>
          </cell>
          <cell r="H24">
            <v>14285.714285714286</v>
          </cell>
          <cell r="U24">
            <v>-402.16428571428514</v>
          </cell>
          <cell r="AD24">
            <v>1</v>
          </cell>
        </row>
        <row r="25">
          <cell r="D25">
            <v>42276</v>
          </cell>
          <cell r="F25" t="str">
            <v>BUY</v>
          </cell>
          <cell r="H25">
            <v>52.301255230125527</v>
          </cell>
          <cell r="U25">
            <v>0</v>
          </cell>
          <cell r="AD25">
            <v>0</v>
          </cell>
        </row>
        <row r="26">
          <cell r="D26">
            <v>42277</v>
          </cell>
          <cell r="F26" t="str">
            <v>SELL</v>
          </cell>
          <cell r="H26">
            <v>497.51243781094524</v>
          </cell>
          <cell r="U26">
            <v>-217.61248756219175</v>
          </cell>
          <cell r="AD26">
            <v>1</v>
          </cell>
        </row>
        <row r="27">
          <cell r="D27">
            <v>42279</v>
          </cell>
          <cell r="F27" t="str">
            <v>BUY</v>
          </cell>
          <cell r="H27">
            <v>7874.0157480314956</v>
          </cell>
          <cell r="U27">
            <v>0</v>
          </cell>
          <cell r="AD27">
            <v>0</v>
          </cell>
        </row>
        <row r="28">
          <cell r="D28">
            <v>42279</v>
          </cell>
          <cell r="F28" t="str">
            <v>BUY</v>
          </cell>
          <cell r="H28">
            <v>5128.2051282051279</v>
          </cell>
          <cell r="U28">
            <v>0</v>
          </cell>
          <cell r="AD28">
            <v>0</v>
          </cell>
        </row>
        <row r="29">
          <cell r="D29">
            <v>42279</v>
          </cell>
          <cell r="F29" t="str">
            <v>BUY</v>
          </cell>
          <cell r="H29">
            <v>9259.2592592592591</v>
          </cell>
          <cell r="U29">
            <v>0</v>
          </cell>
          <cell r="AD29">
            <v>0</v>
          </cell>
        </row>
        <row r="30">
          <cell r="D30">
            <v>42282</v>
          </cell>
          <cell r="F30" t="str">
            <v>BUY</v>
          </cell>
          <cell r="H30">
            <v>33.222591362126245</v>
          </cell>
          <cell r="U30">
            <v>0</v>
          </cell>
          <cell r="AD30">
            <v>0</v>
          </cell>
        </row>
        <row r="31">
          <cell r="D31">
            <v>42283</v>
          </cell>
          <cell r="F31" t="str">
            <v>BUY</v>
          </cell>
          <cell r="H31">
            <v>341.29692832764505</v>
          </cell>
          <cell r="U31">
            <v>0</v>
          </cell>
          <cell r="AD31">
            <v>0</v>
          </cell>
        </row>
        <row r="32">
          <cell r="D32">
            <v>42283</v>
          </cell>
          <cell r="F32" t="str">
            <v>BUY</v>
          </cell>
          <cell r="H32">
            <v>51.546391752577321</v>
          </cell>
          <cell r="U32">
            <v>0</v>
          </cell>
          <cell r="AD32">
            <v>0</v>
          </cell>
        </row>
        <row r="33">
          <cell r="D33">
            <v>42283</v>
          </cell>
          <cell r="F33" t="str">
            <v>SELL</v>
          </cell>
          <cell r="H33">
            <v>41666.666666666672</v>
          </cell>
          <cell r="U33">
            <v>87.473333333333358</v>
          </cell>
          <cell r="AD33">
            <v>2</v>
          </cell>
        </row>
        <row r="34">
          <cell r="D34">
            <v>42284</v>
          </cell>
          <cell r="F34" t="str">
            <v>BUY</v>
          </cell>
          <cell r="H34">
            <v>1930.5019305019307</v>
          </cell>
          <cell r="U34">
            <v>0</v>
          </cell>
          <cell r="AD34">
            <v>0</v>
          </cell>
        </row>
        <row r="35">
          <cell r="D35">
            <v>42284</v>
          </cell>
          <cell r="F35" t="str">
            <v>SELL</v>
          </cell>
          <cell r="H35">
            <v>341.29692832764505</v>
          </cell>
          <cell r="U35">
            <v>-288.11846416382105</v>
          </cell>
          <cell r="AD35">
            <v>1</v>
          </cell>
        </row>
        <row r="36">
          <cell r="D36">
            <v>42285</v>
          </cell>
          <cell r="F36" t="str">
            <v>BUY</v>
          </cell>
          <cell r="H36">
            <v>40000</v>
          </cell>
          <cell r="U36">
            <v>0</v>
          </cell>
          <cell r="AD36">
            <v>0</v>
          </cell>
        </row>
        <row r="37">
          <cell r="D37">
            <v>42285</v>
          </cell>
          <cell r="F37" t="str">
            <v>SELL</v>
          </cell>
          <cell r="H37">
            <v>52.301255230125527</v>
          </cell>
          <cell r="U37">
            <v>77.964769874477497</v>
          </cell>
          <cell r="AD37">
            <v>2</v>
          </cell>
        </row>
        <row r="38">
          <cell r="D38">
            <v>42286</v>
          </cell>
          <cell r="F38" t="str">
            <v>BUY</v>
          </cell>
          <cell r="H38">
            <v>1672.2408026755852</v>
          </cell>
          <cell r="U38">
            <v>0</v>
          </cell>
          <cell r="AD38">
            <v>0</v>
          </cell>
        </row>
        <row r="39">
          <cell r="D39">
            <v>42286</v>
          </cell>
          <cell r="F39" t="str">
            <v>BUY</v>
          </cell>
          <cell r="H39">
            <v>14925.373134328358</v>
          </cell>
          <cell r="U39">
            <v>0</v>
          </cell>
          <cell r="AD39">
            <v>0</v>
          </cell>
        </row>
        <row r="40">
          <cell r="D40">
            <v>42289</v>
          </cell>
          <cell r="F40" t="str">
            <v>BUY</v>
          </cell>
          <cell r="H40">
            <v>7692.3076923076924</v>
          </cell>
          <cell r="U40">
            <v>0</v>
          </cell>
          <cell r="AD40">
            <v>0</v>
          </cell>
        </row>
        <row r="41">
          <cell r="D41">
            <v>42289</v>
          </cell>
          <cell r="F41" t="str">
            <v>BUY</v>
          </cell>
          <cell r="H41">
            <v>116.95906432748538</v>
          </cell>
          <cell r="U41">
            <v>0</v>
          </cell>
          <cell r="AD41">
            <v>0</v>
          </cell>
        </row>
        <row r="42">
          <cell r="D42">
            <v>42289</v>
          </cell>
          <cell r="F42" t="str">
            <v>SELL</v>
          </cell>
          <cell r="H42">
            <v>1930.5019305019307</v>
          </cell>
          <cell r="U42">
            <v>-176.39505791505508</v>
          </cell>
          <cell r="AD42">
            <v>1</v>
          </cell>
        </row>
        <row r="43">
          <cell r="D43">
            <v>42290</v>
          </cell>
          <cell r="F43" t="str">
            <v>SELL</v>
          </cell>
          <cell r="H43">
            <v>7692.3076923076924</v>
          </cell>
          <cell r="U43">
            <v>-1110.0499999999993</v>
          </cell>
          <cell r="AD43">
            <v>1</v>
          </cell>
        </row>
        <row r="44">
          <cell r="D44">
            <v>42291</v>
          </cell>
          <cell r="F44" t="str">
            <v>SELL</v>
          </cell>
          <cell r="H44">
            <v>9259.2592592592591</v>
          </cell>
          <cell r="U44">
            <v>798.63592592592431</v>
          </cell>
          <cell r="AD44">
            <v>2</v>
          </cell>
        </row>
        <row r="45">
          <cell r="D45">
            <v>42292</v>
          </cell>
          <cell r="F45" t="str">
            <v>BUY</v>
          </cell>
          <cell r="H45">
            <v>8771.9298245614045</v>
          </cell>
          <cell r="U45">
            <v>0</v>
          </cell>
          <cell r="AD45">
            <v>0</v>
          </cell>
        </row>
        <row r="46">
          <cell r="D46">
            <v>42292</v>
          </cell>
          <cell r="F46" t="str">
            <v>BUY</v>
          </cell>
          <cell r="H46">
            <v>1526.7175572519084</v>
          </cell>
          <cell r="U46">
            <v>0</v>
          </cell>
          <cell r="AD46">
            <v>0</v>
          </cell>
        </row>
        <row r="47">
          <cell r="D47">
            <v>42293</v>
          </cell>
          <cell r="F47" t="str">
            <v>BUY</v>
          </cell>
          <cell r="H47">
            <v>1383.1258644536651</v>
          </cell>
          <cell r="U47">
            <v>0</v>
          </cell>
          <cell r="AD47">
            <v>0</v>
          </cell>
        </row>
        <row r="48">
          <cell r="D48">
            <v>42293</v>
          </cell>
          <cell r="F48" t="str">
            <v>BUY</v>
          </cell>
          <cell r="H48">
            <v>1362.3978201634877</v>
          </cell>
          <cell r="U48">
            <v>0</v>
          </cell>
          <cell r="AD48">
            <v>0</v>
          </cell>
        </row>
        <row r="49">
          <cell r="D49">
            <v>42293</v>
          </cell>
          <cell r="F49" t="str">
            <v>SELL</v>
          </cell>
          <cell r="H49">
            <v>1672.2408026755852</v>
          </cell>
          <cell r="U49">
            <v>-268.14167224080302</v>
          </cell>
          <cell r="AD49">
            <v>1</v>
          </cell>
        </row>
        <row r="50">
          <cell r="D50">
            <v>42297</v>
          </cell>
          <cell r="F50" t="str">
            <v>SELL</v>
          </cell>
          <cell r="H50">
            <v>5128.2051282051279</v>
          </cell>
          <cell r="U50">
            <v>-17.36589743589866</v>
          </cell>
          <cell r="AD50">
            <v>1</v>
          </cell>
        </row>
        <row r="51">
          <cell r="D51">
            <v>42297</v>
          </cell>
          <cell r="F51" t="str">
            <v>SELL</v>
          </cell>
          <cell r="H51">
            <v>40000</v>
          </cell>
          <cell r="U51">
            <v>79.209999999999127</v>
          </cell>
          <cell r="AD51">
            <v>2</v>
          </cell>
        </row>
        <row r="52">
          <cell r="D52">
            <v>42298</v>
          </cell>
          <cell r="F52" t="str">
            <v>BUY</v>
          </cell>
          <cell r="H52">
            <v>1161.4401858304298</v>
          </cell>
          <cell r="U52">
            <v>0</v>
          </cell>
          <cell r="AD52">
            <v>0</v>
          </cell>
        </row>
        <row r="53">
          <cell r="D53">
            <v>42298</v>
          </cell>
          <cell r="F53" t="str">
            <v>BUY</v>
          </cell>
          <cell r="H53">
            <v>101010.101010101</v>
          </cell>
          <cell r="U53">
            <v>0</v>
          </cell>
          <cell r="AD53">
            <v>0</v>
          </cell>
        </row>
        <row r="54">
          <cell r="D54">
            <v>42298</v>
          </cell>
          <cell r="F54" t="str">
            <v>BUY</v>
          </cell>
          <cell r="H54">
            <v>38461.538461538461</v>
          </cell>
          <cell r="U54">
            <v>0</v>
          </cell>
          <cell r="AD54">
            <v>0</v>
          </cell>
        </row>
        <row r="55">
          <cell r="D55">
            <v>42298</v>
          </cell>
          <cell r="F55" t="str">
            <v>BUY</v>
          </cell>
          <cell r="H55">
            <v>468.38407494145196</v>
          </cell>
          <cell r="U55">
            <v>0</v>
          </cell>
          <cell r="AD55">
            <v>0</v>
          </cell>
        </row>
        <row r="56">
          <cell r="D56">
            <v>42299</v>
          </cell>
          <cell r="F56" t="str">
            <v>BUY</v>
          </cell>
          <cell r="H56">
            <v>11904.761904761905</v>
          </cell>
          <cell r="U56">
            <v>0</v>
          </cell>
          <cell r="AD56">
            <v>0</v>
          </cell>
        </row>
        <row r="57">
          <cell r="D57">
            <v>42299</v>
          </cell>
          <cell r="F57" t="str">
            <v>BUY</v>
          </cell>
          <cell r="H57">
            <v>648.50843060959789</v>
          </cell>
          <cell r="U57">
            <v>0</v>
          </cell>
          <cell r="AD57">
            <v>0</v>
          </cell>
        </row>
        <row r="58">
          <cell r="D58">
            <v>42299</v>
          </cell>
          <cell r="F58" t="str">
            <v>SELL</v>
          </cell>
          <cell r="H58">
            <v>101010.101010101</v>
          </cell>
          <cell r="U58">
            <v>-719.63060606060571</v>
          </cell>
          <cell r="AD58">
            <v>1</v>
          </cell>
        </row>
        <row r="59">
          <cell r="D59">
            <v>42299</v>
          </cell>
          <cell r="F59" t="str">
            <v>SELL</v>
          </cell>
          <cell r="H59">
            <v>38461.538461538461</v>
          </cell>
          <cell r="U59">
            <v>-309.58769230769212</v>
          </cell>
          <cell r="AD59">
            <v>1</v>
          </cell>
        </row>
        <row r="60">
          <cell r="D60">
            <v>42300</v>
          </cell>
          <cell r="F60" t="str">
            <v>BUY</v>
          </cell>
          <cell r="H60">
            <v>2114.1649048625791</v>
          </cell>
          <cell r="U60">
            <v>0</v>
          </cell>
          <cell r="AD60">
            <v>0</v>
          </cell>
        </row>
        <row r="61">
          <cell r="D61">
            <v>42303</v>
          </cell>
          <cell r="F61" t="str">
            <v>BUY</v>
          </cell>
          <cell r="H61">
            <v>952.38095238095241</v>
          </cell>
          <cell r="U61">
            <v>0</v>
          </cell>
          <cell r="AD61">
            <v>0</v>
          </cell>
        </row>
        <row r="62">
          <cell r="D62">
            <v>42303</v>
          </cell>
          <cell r="F62" t="str">
            <v>BUY</v>
          </cell>
          <cell r="H62">
            <v>107526.8817204301</v>
          </cell>
          <cell r="U62">
            <v>0</v>
          </cell>
          <cell r="AD62">
            <v>0</v>
          </cell>
        </row>
        <row r="63">
          <cell r="D63">
            <v>42303</v>
          </cell>
          <cell r="F63" t="str">
            <v>BUY</v>
          </cell>
          <cell r="H63">
            <v>1733.1022530329292</v>
          </cell>
          <cell r="U63">
            <v>0</v>
          </cell>
          <cell r="AD63">
            <v>0</v>
          </cell>
        </row>
        <row r="64">
          <cell r="D64">
            <v>42303</v>
          </cell>
          <cell r="F64" t="str">
            <v>BUY</v>
          </cell>
          <cell r="H64">
            <v>273.5978112175103</v>
          </cell>
          <cell r="U64">
            <v>0</v>
          </cell>
          <cell r="AD64">
            <v>0</v>
          </cell>
        </row>
        <row r="65">
          <cell r="D65">
            <v>42303</v>
          </cell>
          <cell r="F65" t="str">
            <v>SELL</v>
          </cell>
          <cell r="H65">
            <v>33.222591362126245</v>
          </cell>
          <cell r="U65">
            <v>276.10109634551554</v>
          </cell>
          <cell r="AD65">
            <v>2</v>
          </cell>
        </row>
        <row r="66">
          <cell r="D66">
            <v>42304</v>
          </cell>
          <cell r="F66" t="str">
            <v>BUY</v>
          </cell>
          <cell r="H66">
            <v>202.02020202020202</v>
          </cell>
          <cell r="U66">
            <v>0</v>
          </cell>
          <cell r="AD66">
            <v>0</v>
          </cell>
        </row>
        <row r="67">
          <cell r="D67">
            <v>42305</v>
          </cell>
          <cell r="F67" t="str">
            <v>BUY</v>
          </cell>
          <cell r="H67">
            <v>4273.5042735042734</v>
          </cell>
          <cell r="U67">
            <v>0</v>
          </cell>
          <cell r="AD67">
            <v>0</v>
          </cell>
        </row>
        <row r="68">
          <cell r="D68">
            <v>42305</v>
          </cell>
          <cell r="F68" t="str">
            <v>SELL</v>
          </cell>
          <cell r="H68">
            <v>11904.761904761905</v>
          </cell>
          <cell r="U68">
            <v>-944.88333333333321</v>
          </cell>
          <cell r="AD68">
            <v>1</v>
          </cell>
        </row>
        <row r="69">
          <cell r="D69">
            <v>42305</v>
          </cell>
          <cell r="F69" t="str">
            <v>SELL</v>
          </cell>
          <cell r="H69">
            <v>273.5978112175103</v>
          </cell>
          <cell r="U69">
            <v>-105.43010943912304</v>
          </cell>
          <cell r="AD69">
            <v>1</v>
          </cell>
        </row>
        <row r="70">
          <cell r="D70">
            <v>42306</v>
          </cell>
          <cell r="F70" t="str">
            <v>SELL</v>
          </cell>
          <cell r="H70">
            <v>116.95906432748538</v>
          </cell>
          <cell r="U70">
            <v>-130.59590643274714</v>
          </cell>
          <cell r="AD70">
            <v>1</v>
          </cell>
        </row>
        <row r="71">
          <cell r="D71">
            <v>42306</v>
          </cell>
          <cell r="F71" t="str">
            <v>SELL</v>
          </cell>
          <cell r="H71">
            <v>51.546391752577321</v>
          </cell>
          <cell r="U71">
            <v>136.42195876288679</v>
          </cell>
          <cell r="AD71">
            <v>2</v>
          </cell>
        </row>
        <row r="72">
          <cell r="D72">
            <v>42306</v>
          </cell>
          <cell r="F72" t="str">
            <v>SELL</v>
          </cell>
          <cell r="H72">
            <v>14925.373134328358</v>
          </cell>
          <cell r="U72">
            <v>324.76119402985023</v>
          </cell>
          <cell r="AD72">
            <v>2</v>
          </cell>
        </row>
        <row r="73">
          <cell r="D73">
            <v>42306</v>
          </cell>
          <cell r="F73" t="str">
            <v>SELL</v>
          </cell>
          <cell r="H73">
            <v>1383.1258644536651</v>
          </cell>
          <cell r="U73">
            <v>813.1155878284917</v>
          </cell>
          <cell r="AD73">
            <v>2</v>
          </cell>
        </row>
        <row r="74">
          <cell r="D74">
            <v>42307</v>
          </cell>
          <cell r="F74" t="str">
            <v>BUY</v>
          </cell>
          <cell r="H74">
            <v>13333.333333333334</v>
          </cell>
          <cell r="U74">
            <v>0</v>
          </cell>
          <cell r="AD74">
            <v>0</v>
          </cell>
        </row>
        <row r="75">
          <cell r="D75">
            <v>42307</v>
          </cell>
          <cell r="F75" t="str">
            <v>SELL</v>
          </cell>
          <cell r="H75">
            <v>2114.1649048625791</v>
          </cell>
          <cell r="U75">
            <v>-202.80659619450307</v>
          </cell>
          <cell r="AD75">
            <v>1</v>
          </cell>
        </row>
        <row r="76">
          <cell r="D76">
            <v>42310</v>
          </cell>
          <cell r="F76" t="str">
            <v>BUY</v>
          </cell>
          <cell r="H76">
            <v>1644.7368421052631</v>
          </cell>
          <cell r="U76">
            <v>0</v>
          </cell>
          <cell r="AD76">
            <v>0</v>
          </cell>
        </row>
        <row r="77">
          <cell r="D77">
            <v>42311</v>
          </cell>
          <cell r="F77" t="str">
            <v>BUY</v>
          </cell>
          <cell r="H77">
            <v>5649.7175141242933</v>
          </cell>
          <cell r="U77">
            <v>0</v>
          </cell>
          <cell r="AD77">
            <v>0</v>
          </cell>
        </row>
        <row r="78">
          <cell r="D78">
            <v>42311</v>
          </cell>
          <cell r="F78" t="str">
            <v>SELL</v>
          </cell>
          <cell r="H78">
            <v>13.140604467805518</v>
          </cell>
          <cell r="U78">
            <v>102.39027595269363</v>
          </cell>
          <cell r="AD78">
            <v>2</v>
          </cell>
        </row>
        <row r="79">
          <cell r="D79">
            <v>42314</v>
          </cell>
          <cell r="F79" t="str">
            <v>BUY</v>
          </cell>
          <cell r="H79">
            <v>5319.1489361702133</v>
          </cell>
          <cell r="U79">
            <v>0</v>
          </cell>
          <cell r="AD79">
            <v>0</v>
          </cell>
        </row>
        <row r="80">
          <cell r="D80">
            <v>42314</v>
          </cell>
          <cell r="F80" t="str">
            <v>BUY</v>
          </cell>
          <cell r="H80">
            <v>763.35877862595419</v>
          </cell>
          <cell r="U80">
            <v>0</v>
          </cell>
          <cell r="AD80">
            <v>0</v>
          </cell>
        </row>
        <row r="81">
          <cell r="D81">
            <v>42317</v>
          </cell>
          <cell r="F81" t="str">
            <v>BUY</v>
          </cell>
          <cell r="H81">
            <v>37037.037037037036</v>
          </cell>
          <cell r="U81">
            <v>0</v>
          </cell>
          <cell r="AD81">
            <v>0</v>
          </cell>
        </row>
        <row r="82">
          <cell r="D82">
            <v>42317</v>
          </cell>
          <cell r="F82" t="str">
            <v>SELL</v>
          </cell>
          <cell r="H82">
            <v>5319.1489361702133</v>
          </cell>
          <cell r="U82">
            <v>-488.01042553191292</v>
          </cell>
          <cell r="AD82">
            <v>1</v>
          </cell>
        </row>
        <row r="83">
          <cell r="D83">
            <v>42317</v>
          </cell>
          <cell r="F83" t="str">
            <v>SELL</v>
          </cell>
          <cell r="H83">
            <v>1733.1022530329292</v>
          </cell>
          <cell r="U83">
            <v>-273.56920277296376</v>
          </cell>
          <cell r="AD83">
            <v>1</v>
          </cell>
        </row>
        <row r="84">
          <cell r="D84">
            <v>42317</v>
          </cell>
          <cell r="F84" t="str">
            <v>SELL</v>
          </cell>
          <cell r="H84">
            <v>13333.333333333334</v>
          </cell>
          <cell r="U84">
            <v>1730.9566666666706</v>
          </cell>
          <cell r="AD84">
            <v>2</v>
          </cell>
        </row>
        <row r="85">
          <cell r="D85">
            <v>42318</v>
          </cell>
          <cell r="F85" t="str">
            <v>SELL</v>
          </cell>
          <cell r="H85">
            <v>37037.037037037036</v>
          </cell>
          <cell r="U85">
            <v>-669.57555555555882</v>
          </cell>
          <cell r="AD85">
            <v>1</v>
          </cell>
        </row>
        <row r="86">
          <cell r="D86">
            <v>42318</v>
          </cell>
          <cell r="F86" t="str">
            <v>SELL</v>
          </cell>
          <cell r="H86">
            <v>1644.7368421052631</v>
          </cell>
          <cell r="U86">
            <v>-70.087894736843737</v>
          </cell>
          <cell r="AD86">
            <v>1</v>
          </cell>
        </row>
        <row r="87">
          <cell r="D87">
            <v>42318</v>
          </cell>
          <cell r="F87" t="str">
            <v>SELL</v>
          </cell>
          <cell r="H87">
            <v>648.50843060959789</v>
          </cell>
          <cell r="U87">
            <v>703.66079118028392</v>
          </cell>
          <cell r="AD87">
            <v>2</v>
          </cell>
        </row>
        <row r="88">
          <cell r="D88">
            <v>42318</v>
          </cell>
          <cell r="F88" t="str">
            <v>SELL</v>
          </cell>
          <cell r="H88">
            <v>1362.3978201634877</v>
          </cell>
          <cell r="U88">
            <v>907.16234332424938</v>
          </cell>
          <cell r="AD88">
            <v>2</v>
          </cell>
        </row>
        <row r="89">
          <cell r="D89">
            <v>42319</v>
          </cell>
          <cell r="F89" t="str">
            <v>BUY</v>
          </cell>
          <cell r="H89">
            <v>5263.1578947368425</v>
          </cell>
          <cell r="U89">
            <v>0</v>
          </cell>
          <cell r="AD89">
            <v>0</v>
          </cell>
        </row>
        <row r="90">
          <cell r="D90">
            <v>42320</v>
          </cell>
          <cell r="F90" t="str">
            <v>BUY</v>
          </cell>
          <cell r="H90">
            <v>4347.826086956522</v>
          </cell>
          <cell r="U90">
            <v>0</v>
          </cell>
          <cell r="AD90">
            <v>0</v>
          </cell>
        </row>
        <row r="91">
          <cell r="D91">
            <v>42320</v>
          </cell>
          <cell r="F91" t="str">
            <v>SELL</v>
          </cell>
          <cell r="H91">
            <v>763.35877862595419</v>
          </cell>
          <cell r="U91">
            <v>-285.42893129770891</v>
          </cell>
          <cell r="AD91">
            <v>1</v>
          </cell>
        </row>
        <row r="92">
          <cell r="D92">
            <v>42328</v>
          </cell>
          <cell r="F92" t="str">
            <v>BUY</v>
          </cell>
          <cell r="H92">
            <v>172.86084701815039</v>
          </cell>
          <cell r="U92">
            <v>0</v>
          </cell>
          <cell r="AD92">
            <v>0</v>
          </cell>
        </row>
        <row r="93">
          <cell r="D93">
            <v>42328</v>
          </cell>
          <cell r="F93" t="str">
            <v>SELL</v>
          </cell>
          <cell r="H93">
            <v>5649.7175141242933</v>
          </cell>
          <cell r="U93">
            <v>-119</v>
          </cell>
          <cell r="AD93">
            <v>1</v>
          </cell>
        </row>
        <row r="94">
          <cell r="D94">
            <v>42331</v>
          </cell>
          <cell r="F94" t="str">
            <v>BUY</v>
          </cell>
          <cell r="H94">
            <v>757.57575757575762</v>
          </cell>
          <cell r="U94">
            <v>0</v>
          </cell>
          <cell r="AD94">
            <v>0</v>
          </cell>
        </row>
        <row r="95">
          <cell r="D95">
            <v>42331</v>
          </cell>
          <cell r="F95" t="str">
            <v>BUY</v>
          </cell>
          <cell r="H95">
            <v>5820.7217694994179</v>
          </cell>
          <cell r="U95">
            <v>0</v>
          </cell>
          <cell r="AD95">
            <v>0</v>
          </cell>
        </row>
        <row r="96">
          <cell r="D96">
            <v>42333</v>
          </cell>
          <cell r="F96" t="str">
            <v>BUY</v>
          </cell>
          <cell r="H96">
            <v>234.19203747072598</v>
          </cell>
          <cell r="U96">
            <v>0</v>
          </cell>
          <cell r="AD96">
            <v>0</v>
          </cell>
        </row>
        <row r="97">
          <cell r="D97">
            <v>42333</v>
          </cell>
          <cell r="F97" t="str">
            <v>SELL</v>
          </cell>
          <cell r="H97">
            <v>1394.7001394700139</v>
          </cell>
          <cell r="U97">
            <v>-353.98902370990254</v>
          </cell>
          <cell r="AD97">
            <v>1</v>
          </cell>
        </row>
        <row r="98">
          <cell r="D98">
            <v>42339</v>
          </cell>
          <cell r="F98" t="str">
            <v>BUY</v>
          </cell>
          <cell r="H98">
            <v>448.4304932735426</v>
          </cell>
          <cell r="U98">
            <v>0</v>
          </cell>
          <cell r="AD98">
            <v>0</v>
          </cell>
        </row>
        <row r="99">
          <cell r="D99">
            <v>42339</v>
          </cell>
          <cell r="F99" t="str">
            <v>SELL</v>
          </cell>
          <cell r="H99">
            <v>468.38407494145196</v>
          </cell>
          <cell r="U99">
            <v>786.17894613582939</v>
          </cell>
          <cell r="AD99">
            <v>2</v>
          </cell>
        </row>
        <row r="100">
          <cell r="D100">
            <v>42340</v>
          </cell>
          <cell r="F100" t="str">
            <v>BUY</v>
          </cell>
          <cell r="H100">
            <v>12048.192771084337</v>
          </cell>
          <cell r="U100">
            <v>0</v>
          </cell>
          <cell r="AD100">
            <v>0</v>
          </cell>
        </row>
        <row r="101">
          <cell r="D101">
            <v>42341</v>
          </cell>
          <cell r="F101" t="str">
            <v>SELL</v>
          </cell>
          <cell r="H101">
            <v>7874.0157480314956</v>
          </cell>
          <cell r="U101">
            <v>-119</v>
          </cell>
          <cell r="AD101">
            <v>1</v>
          </cell>
        </row>
        <row r="102">
          <cell r="D102">
            <v>42345</v>
          </cell>
          <cell r="F102" t="str">
            <v>BUY</v>
          </cell>
          <cell r="H102">
            <v>401.60642570281129</v>
          </cell>
          <cell r="U102">
            <v>0</v>
          </cell>
          <cell r="AD102">
            <v>0</v>
          </cell>
        </row>
        <row r="103">
          <cell r="D103">
            <v>42346</v>
          </cell>
          <cell r="F103" t="str">
            <v>SELL</v>
          </cell>
          <cell r="H103">
            <v>5263.1578947368425</v>
          </cell>
          <cell r="U103">
            <v>13703.548421052632</v>
          </cell>
          <cell r="AD103">
            <v>2</v>
          </cell>
        </row>
        <row r="104">
          <cell r="D104">
            <v>42349</v>
          </cell>
          <cell r="F104" t="str">
            <v>BUY</v>
          </cell>
          <cell r="H104">
            <v>281.6901408450704</v>
          </cell>
          <cell r="U104">
            <v>0</v>
          </cell>
          <cell r="AD104">
            <v>0</v>
          </cell>
        </row>
        <row r="105">
          <cell r="D105">
            <v>42353</v>
          </cell>
          <cell r="F105" t="str">
            <v>BUY</v>
          </cell>
          <cell r="H105">
            <v>5235.6020942408377</v>
          </cell>
          <cell r="U105">
            <v>0</v>
          </cell>
          <cell r="AD105">
            <v>0</v>
          </cell>
        </row>
        <row r="106">
          <cell r="D106">
            <v>42353</v>
          </cell>
          <cell r="F106" t="str">
            <v>SELL</v>
          </cell>
          <cell r="H106">
            <v>448.4304932735426</v>
          </cell>
          <cell r="U106">
            <v>-363.43677130044853</v>
          </cell>
          <cell r="AD106">
            <v>1</v>
          </cell>
        </row>
        <row r="107">
          <cell r="D107">
            <v>42355</v>
          </cell>
          <cell r="F107" t="str">
            <v>BUY</v>
          </cell>
          <cell r="H107">
            <v>1876.172607879925</v>
          </cell>
          <cell r="U107">
            <v>0</v>
          </cell>
          <cell r="AD107">
            <v>0</v>
          </cell>
        </row>
        <row r="108">
          <cell r="D108">
            <v>42355</v>
          </cell>
          <cell r="F108" t="str">
            <v>BUY</v>
          </cell>
          <cell r="H108">
            <v>4255.3191489361698</v>
          </cell>
          <cell r="U108">
            <v>0</v>
          </cell>
          <cell r="AD108">
            <v>0</v>
          </cell>
        </row>
        <row r="109">
          <cell r="D109">
            <v>42356</v>
          </cell>
          <cell r="F109" t="str">
            <v>SELL</v>
          </cell>
          <cell r="H109">
            <v>401.60642570281129</v>
          </cell>
          <cell r="U109">
            <v>-377.704176706824</v>
          </cell>
          <cell r="AD109">
            <v>1</v>
          </cell>
        </row>
        <row r="110">
          <cell r="D110">
            <v>42360</v>
          </cell>
          <cell r="F110" t="str">
            <v>BUY</v>
          </cell>
          <cell r="H110">
            <v>444.44444444444446</v>
          </cell>
          <cell r="U110">
            <v>0</v>
          </cell>
          <cell r="AD110">
            <v>0</v>
          </cell>
        </row>
        <row r="111">
          <cell r="D111">
            <v>42360</v>
          </cell>
          <cell r="F111" t="str">
            <v>BUY</v>
          </cell>
          <cell r="H111">
            <v>7.518796992481203</v>
          </cell>
          <cell r="U111">
            <v>0</v>
          </cell>
          <cell r="AD111">
            <v>0</v>
          </cell>
        </row>
        <row r="112">
          <cell r="D112">
            <v>42360</v>
          </cell>
          <cell r="F112" t="str">
            <v>SELL</v>
          </cell>
          <cell r="H112">
            <v>4255.3191489361698</v>
          </cell>
          <cell r="U112">
            <v>808.79021276595631</v>
          </cell>
          <cell r="AD112">
            <v>2</v>
          </cell>
        </row>
        <row r="113">
          <cell r="D113">
            <v>42375</v>
          </cell>
          <cell r="F113" t="str">
            <v>BUY</v>
          </cell>
          <cell r="H113">
            <v>2000</v>
          </cell>
          <cell r="U113">
            <v>0</v>
          </cell>
          <cell r="AD113">
            <v>0</v>
          </cell>
        </row>
        <row r="114">
          <cell r="D114">
            <v>42382</v>
          </cell>
          <cell r="F114" t="str">
            <v>BUY</v>
          </cell>
          <cell r="H114">
            <v>117.78563015312132</v>
          </cell>
          <cell r="U114">
            <v>0</v>
          </cell>
          <cell r="AD114">
            <v>0</v>
          </cell>
        </row>
        <row r="115">
          <cell r="D115">
            <v>42401</v>
          </cell>
          <cell r="F115" t="str">
            <v>BUY</v>
          </cell>
          <cell r="H115">
            <v>19230.76923076923</v>
          </cell>
          <cell r="U115">
            <v>0</v>
          </cell>
          <cell r="AD115">
            <v>0</v>
          </cell>
        </row>
        <row r="116">
          <cell r="D116">
            <v>42401</v>
          </cell>
          <cell r="F116" t="str">
            <v>SELL</v>
          </cell>
          <cell r="H116">
            <v>172.86084701815039</v>
          </cell>
          <cell r="U116">
            <v>-93.30087294727673</v>
          </cell>
          <cell r="AD116">
            <v>1</v>
          </cell>
        </row>
        <row r="117">
          <cell r="D117">
            <v>42402</v>
          </cell>
          <cell r="F117" t="str">
            <v>SELL</v>
          </cell>
          <cell r="H117">
            <v>1876.172607879925</v>
          </cell>
          <cell r="U117">
            <v>-44.623095684803047</v>
          </cell>
          <cell r="AD117">
            <v>1</v>
          </cell>
        </row>
        <row r="118">
          <cell r="D118">
            <v>42404</v>
          </cell>
          <cell r="F118" t="str">
            <v>BUY</v>
          </cell>
          <cell r="H118">
            <v>384.61538461538464</v>
          </cell>
          <cell r="U118">
            <v>0</v>
          </cell>
          <cell r="AD118">
            <v>0</v>
          </cell>
        </row>
        <row r="119">
          <cell r="D119">
            <v>42410</v>
          </cell>
          <cell r="F119" t="str">
            <v>SELL</v>
          </cell>
          <cell r="H119">
            <v>107526.8817204301</v>
          </cell>
          <cell r="U119">
            <v>-1504.3394623655913</v>
          </cell>
          <cell r="AD119">
            <v>1</v>
          </cell>
        </row>
        <row r="120">
          <cell r="D120">
            <v>42415</v>
          </cell>
          <cell r="F120" t="str">
            <v>BUY</v>
          </cell>
          <cell r="H120">
            <v>2604.166666666667</v>
          </cell>
          <cell r="U120">
            <v>0</v>
          </cell>
          <cell r="AD120">
            <v>0</v>
          </cell>
        </row>
        <row r="121">
          <cell r="D121">
            <v>42417</v>
          </cell>
          <cell r="F121" t="str">
            <v>BUY</v>
          </cell>
          <cell r="H121">
            <v>46.685340802987866</v>
          </cell>
          <cell r="U121">
            <v>0</v>
          </cell>
          <cell r="AD121">
            <v>0</v>
          </cell>
        </row>
        <row r="122">
          <cell r="D122">
            <v>42417</v>
          </cell>
          <cell r="F122" t="str">
            <v>SELL</v>
          </cell>
          <cell r="H122">
            <v>4273.5042735042734</v>
          </cell>
          <cell r="U122">
            <v>-1558.9814529914529</v>
          </cell>
          <cell r="AD122">
            <v>1</v>
          </cell>
        </row>
        <row r="123">
          <cell r="D123">
            <v>42424</v>
          </cell>
          <cell r="F123" t="str">
            <v>BUY</v>
          </cell>
          <cell r="H123">
            <v>9259.2592592592591</v>
          </cell>
          <cell r="U123">
            <v>0</v>
          </cell>
          <cell r="AD123">
            <v>0</v>
          </cell>
        </row>
        <row r="124">
          <cell r="D124">
            <v>42424</v>
          </cell>
          <cell r="F124" t="str">
            <v>SELL</v>
          </cell>
          <cell r="H124">
            <v>1161.4401858304298</v>
          </cell>
          <cell r="U124">
            <v>-1396.6586062717761</v>
          </cell>
          <cell r="AD124">
            <v>1</v>
          </cell>
        </row>
        <row r="125">
          <cell r="D125">
            <v>42429</v>
          </cell>
          <cell r="F125" t="str">
            <v>BUY</v>
          </cell>
          <cell r="H125">
            <v>2777.7777777777778</v>
          </cell>
          <cell r="U125">
            <v>0</v>
          </cell>
          <cell r="AD125">
            <v>0</v>
          </cell>
        </row>
        <row r="126">
          <cell r="D126">
            <v>42429</v>
          </cell>
          <cell r="F126" t="str">
            <v>SELL</v>
          </cell>
          <cell r="H126">
            <v>46.685340802987866</v>
          </cell>
          <cell r="U126">
            <v>103.0896358543414</v>
          </cell>
          <cell r="AD126">
            <v>2</v>
          </cell>
        </row>
        <row r="127">
          <cell r="D127">
            <v>42431</v>
          </cell>
          <cell r="F127" t="str">
            <v>BUY</v>
          </cell>
          <cell r="H127">
            <v>14.084507042253522</v>
          </cell>
          <cell r="U127">
            <v>0</v>
          </cell>
          <cell r="AD127">
            <v>0</v>
          </cell>
        </row>
        <row r="128">
          <cell r="D128">
            <v>42431</v>
          </cell>
          <cell r="F128" t="str">
            <v>SELL</v>
          </cell>
          <cell r="H128">
            <v>2000</v>
          </cell>
          <cell r="U128">
            <v>673.84000000000196</v>
          </cell>
          <cell r="AD128">
            <v>2</v>
          </cell>
        </row>
        <row r="129">
          <cell r="D129">
            <v>42432</v>
          </cell>
          <cell r="F129" t="str">
            <v>BUY</v>
          </cell>
          <cell r="H129">
            <v>2188.1838074398247</v>
          </cell>
          <cell r="U129">
            <v>0</v>
          </cell>
          <cell r="AD129">
            <v>0</v>
          </cell>
        </row>
        <row r="130">
          <cell r="D130">
            <v>42432</v>
          </cell>
          <cell r="F130" t="str">
            <v>SELL</v>
          </cell>
          <cell r="H130">
            <v>9259.2592592592591</v>
          </cell>
          <cell r="U130">
            <v>248.05037037037073</v>
          </cell>
          <cell r="AD130">
            <v>2</v>
          </cell>
        </row>
        <row r="131">
          <cell r="D131">
            <v>42436</v>
          </cell>
          <cell r="F131" t="str">
            <v>SELL</v>
          </cell>
          <cell r="H131">
            <v>952.38095238095241</v>
          </cell>
          <cell r="U131">
            <v>-1657.4809523809527</v>
          </cell>
          <cell r="AD131">
            <v>1</v>
          </cell>
        </row>
        <row r="132">
          <cell r="D132">
            <v>42436</v>
          </cell>
          <cell r="F132" t="str">
            <v>SELL</v>
          </cell>
          <cell r="H132">
            <v>7.518796992481203</v>
          </cell>
          <cell r="U132">
            <v>-171.15157894736876</v>
          </cell>
          <cell r="AD132">
            <v>1</v>
          </cell>
        </row>
        <row r="133">
          <cell r="D133">
            <v>42436</v>
          </cell>
          <cell r="F133" t="str">
            <v>SELL</v>
          </cell>
          <cell r="H133">
            <v>14.084507042253522</v>
          </cell>
          <cell r="U133">
            <v>20.585070422535864</v>
          </cell>
          <cell r="AD133">
            <v>2</v>
          </cell>
        </row>
        <row r="134">
          <cell r="D134">
            <v>42438</v>
          </cell>
          <cell r="F134" t="str">
            <v>BUY</v>
          </cell>
          <cell r="H134">
            <v>104166.66666666667</v>
          </cell>
          <cell r="U134">
            <v>0</v>
          </cell>
          <cell r="AD134">
            <v>0</v>
          </cell>
        </row>
        <row r="135">
          <cell r="D135">
            <v>42438</v>
          </cell>
          <cell r="F135" t="str">
            <v>BUY</v>
          </cell>
          <cell r="H135">
            <v>285.71428571428572</v>
          </cell>
          <cell r="U135">
            <v>0</v>
          </cell>
          <cell r="AD135">
            <v>0</v>
          </cell>
        </row>
        <row r="136">
          <cell r="D136">
            <v>42438</v>
          </cell>
          <cell r="F136" t="str">
            <v>BUY</v>
          </cell>
          <cell r="H136">
            <v>125</v>
          </cell>
          <cell r="U136">
            <v>0</v>
          </cell>
          <cell r="AD136">
            <v>0</v>
          </cell>
        </row>
        <row r="137">
          <cell r="D137">
            <v>42443</v>
          </cell>
          <cell r="F137" t="str">
            <v>SELL</v>
          </cell>
          <cell r="H137">
            <v>1526.7175572519084</v>
          </cell>
          <cell r="U137">
            <v>-2541.1280916030537</v>
          </cell>
          <cell r="AD137">
            <v>1</v>
          </cell>
        </row>
        <row r="138">
          <cell r="D138">
            <v>42443</v>
          </cell>
          <cell r="F138" t="str">
            <v>SELL</v>
          </cell>
          <cell r="H138">
            <v>2604.166666666667</v>
          </cell>
          <cell r="U138">
            <v>-15.77333333333263</v>
          </cell>
          <cell r="AD138">
            <v>1</v>
          </cell>
        </row>
        <row r="139">
          <cell r="D139">
            <v>42444</v>
          </cell>
          <cell r="F139" t="str">
            <v>BUY</v>
          </cell>
          <cell r="H139">
            <v>5208.3333333333339</v>
          </cell>
          <cell r="U139">
            <v>0</v>
          </cell>
          <cell r="AD139">
            <v>0</v>
          </cell>
        </row>
        <row r="140">
          <cell r="D140">
            <v>42444</v>
          </cell>
          <cell r="F140" t="str">
            <v>SELL</v>
          </cell>
          <cell r="H140">
            <v>8771.9298245614045</v>
          </cell>
          <cell r="U140">
            <v>-3077.5161403508764</v>
          </cell>
          <cell r="AD140">
            <v>1</v>
          </cell>
        </row>
        <row r="141">
          <cell r="D141">
            <v>42445</v>
          </cell>
          <cell r="F141" t="str">
            <v>SELL</v>
          </cell>
          <cell r="H141">
            <v>281.6901408450704</v>
          </cell>
          <cell r="U141">
            <v>-537.74521126760737</v>
          </cell>
          <cell r="AD141">
            <v>1</v>
          </cell>
        </row>
        <row r="142">
          <cell r="D142">
            <v>42445</v>
          </cell>
          <cell r="F142" t="str">
            <v>SELL</v>
          </cell>
          <cell r="H142">
            <v>104166.66666666667</v>
          </cell>
          <cell r="U142">
            <v>-222.23666666666759</v>
          </cell>
          <cell r="AD142">
            <v>1</v>
          </cell>
        </row>
        <row r="143">
          <cell r="D143">
            <v>42445</v>
          </cell>
          <cell r="F143" t="str">
            <v>SELL</v>
          </cell>
          <cell r="H143">
            <v>12048.192771084337</v>
          </cell>
          <cell r="U143">
            <v>0.40192771084002743</v>
          </cell>
          <cell r="AD143">
            <v>2</v>
          </cell>
        </row>
        <row r="144">
          <cell r="D144">
            <v>42445</v>
          </cell>
          <cell r="F144" t="str">
            <v>SELL</v>
          </cell>
          <cell r="H144">
            <v>384.61538461538464</v>
          </cell>
          <cell r="U144">
            <v>414.64153846154113</v>
          </cell>
          <cell r="AD144">
            <v>2</v>
          </cell>
        </row>
        <row r="145">
          <cell r="D145">
            <v>42445</v>
          </cell>
          <cell r="F145" t="str">
            <v>SELL</v>
          </cell>
          <cell r="H145">
            <v>2777.7777777777778</v>
          </cell>
          <cell r="U145">
            <v>844.5222222222219</v>
          </cell>
          <cell r="AD145">
            <v>2</v>
          </cell>
        </row>
        <row r="146">
          <cell r="D146">
            <v>42446</v>
          </cell>
          <cell r="F146" t="str">
            <v>BUY</v>
          </cell>
          <cell r="H146">
            <v>341.29692832764505</v>
          </cell>
          <cell r="U146">
            <v>0</v>
          </cell>
          <cell r="AD146">
            <v>0</v>
          </cell>
        </row>
        <row r="147">
          <cell r="D147">
            <v>42446</v>
          </cell>
          <cell r="F147" t="str">
            <v>BUY</v>
          </cell>
          <cell r="H147">
            <v>286.94404591104734</v>
          </cell>
          <cell r="U147">
            <v>0</v>
          </cell>
          <cell r="AD147">
            <v>0</v>
          </cell>
        </row>
        <row r="148">
          <cell r="D148">
            <v>42450</v>
          </cell>
          <cell r="F148" t="str">
            <v>BUY</v>
          </cell>
          <cell r="H148">
            <v>3267.9738562091502</v>
          </cell>
          <cell r="U148">
            <v>0</v>
          </cell>
          <cell r="AD148">
            <v>0</v>
          </cell>
        </row>
        <row r="149">
          <cell r="D149">
            <v>42451</v>
          </cell>
          <cell r="F149" t="str">
            <v>BUY</v>
          </cell>
          <cell r="H149">
            <v>2551.0204081632655</v>
          </cell>
          <cell r="U149">
            <v>0</v>
          </cell>
          <cell r="AD149">
            <v>0</v>
          </cell>
        </row>
        <row r="150">
          <cell r="D150">
            <v>42451</v>
          </cell>
          <cell r="F150" t="str">
            <v>BUY</v>
          </cell>
          <cell r="H150">
            <v>945.17958412098301</v>
          </cell>
          <cell r="U150">
            <v>0</v>
          </cell>
          <cell r="AD150">
            <v>0</v>
          </cell>
        </row>
        <row r="151">
          <cell r="D151">
            <v>42451</v>
          </cell>
          <cell r="F151" t="str">
            <v>SELL</v>
          </cell>
          <cell r="H151">
            <v>757.57575757575762</v>
          </cell>
          <cell r="U151">
            <v>31.145151515151156</v>
          </cell>
          <cell r="AD151">
            <v>2</v>
          </cell>
        </row>
        <row r="152">
          <cell r="D152">
            <v>42451</v>
          </cell>
          <cell r="F152" t="str">
            <v>SELL</v>
          </cell>
          <cell r="H152">
            <v>285.71428571428572</v>
          </cell>
          <cell r="U152">
            <v>277.42000000000189</v>
          </cell>
          <cell r="AD152">
            <v>2</v>
          </cell>
        </row>
        <row r="153">
          <cell r="D153">
            <v>42457</v>
          </cell>
          <cell r="F153" t="str">
            <v>BUY</v>
          </cell>
          <cell r="H153">
            <v>32786.885245901642</v>
          </cell>
          <cell r="U153">
            <v>0</v>
          </cell>
          <cell r="AD153">
            <v>0</v>
          </cell>
        </row>
        <row r="154">
          <cell r="D154">
            <v>42457</v>
          </cell>
          <cell r="F154" t="str">
            <v>BUY</v>
          </cell>
          <cell r="H154">
            <v>13.245033112582782</v>
          </cell>
          <cell r="U154">
            <v>0</v>
          </cell>
          <cell r="AD154">
            <v>0</v>
          </cell>
        </row>
        <row r="155">
          <cell r="D155">
            <v>42457</v>
          </cell>
          <cell r="F155" t="str">
            <v>BUY</v>
          </cell>
          <cell r="H155">
            <v>9523.8095238095229</v>
          </cell>
          <cell r="U155">
            <v>0</v>
          </cell>
          <cell r="AD155">
            <v>0</v>
          </cell>
        </row>
        <row r="156">
          <cell r="D156">
            <v>42457</v>
          </cell>
          <cell r="F156" t="str">
            <v>BUY</v>
          </cell>
          <cell r="H156">
            <v>9708.7378640776697</v>
          </cell>
          <cell r="U156">
            <v>0</v>
          </cell>
          <cell r="AD156">
            <v>0</v>
          </cell>
        </row>
        <row r="157">
          <cell r="D157">
            <v>42457</v>
          </cell>
          <cell r="F157" t="str">
            <v>SELL</v>
          </cell>
          <cell r="H157">
            <v>3267.9738562091502</v>
          </cell>
          <cell r="U157">
            <v>-863.89398692810391</v>
          </cell>
          <cell r="AD157">
            <v>1</v>
          </cell>
        </row>
        <row r="158">
          <cell r="D158">
            <v>42457</v>
          </cell>
          <cell r="F158" t="str">
            <v>SELL</v>
          </cell>
          <cell r="H158">
            <v>286.94404591104734</v>
          </cell>
          <cell r="U158">
            <v>-76.338393113337588</v>
          </cell>
          <cell r="AD158">
            <v>1</v>
          </cell>
        </row>
        <row r="159">
          <cell r="D159">
            <v>42458</v>
          </cell>
          <cell r="F159" t="str">
            <v>SELL</v>
          </cell>
          <cell r="H159">
            <v>32786.885245901642</v>
          </cell>
          <cell r="U159">
            <v>-606.40327868852</v>
          </cell>
          <cell r="AD159">
            <v>1</v>
          </cell>
        </row>
        <row r="160">
          <cell r="D160">
            <v>42458</v>
          </cell>
          <cell r="F160" t="str">
            <v>SELL</v>
          </cell>
          <cell r="H160">
            <v>125</v>
          </cell>
          <cell r="U160">
            <v>438.45000000000073</v>
          </cell>
          <cell r="AD160">
            <v>2</v>
          </cell>
        </row>
        <row r="161">
          <cell r="D161">
            <v>42460</v>
          </cell>
          <cell r="F161" t="str">
            <v>SELL</v>
          </cell>
          <cell r="H161">
            <v>341.29692832764505</v>
          </cell>
          <cell r="U161">
            <v>-592.54569965870724</v>
          </cell>
          <cell r="AD161">
            <v>1</v>
          </cell>
        </row>
        <row r="162">
          <cell r="D162">
            <v>42460</v>
          </cell>
          <cell r="F162" t="str">
            <v>SELL</v>
          </cell>
          <cell r="H162">
            <v>234.19203747072598</v>
          </cell>
          <cell r="U162">
            <v>171.12004683840678</v>
          </cell>
          <cell r="AD162">
            <v>2</v>
          </cell>
        </row>
        <row r="163">
          <cell r="D163">
            <v>42461</v>
          </cell>
          <cell r="F163" t="str">
            <v>BUY</v>
          </cell>
          <cell r="H163">
            <v>5464.4808743169397</v>
          </cell>
          <cell r="U163">
            <v>0</v>
          </cell>
          <cell r="AD163">
            <v>0</v>
          </cell>
        </row>
        <row r="164">
          <cell r="D164">
            <v>42464</v>
          </cell>
          <cell r="F164" t="str">
            <v>SELL</v>
          </cell>
          <cell r="H164">
            <v>5208.3333333333339</v>
          </cell>
          <cell r="U164">
            <v>913.35666666666839</v>
          </cell>
          <cell r="AD164">
            <v>2</v>
          </cell>
        </row>
        <row r="165">
          <cell r="D165">
            <v>42465</v>
          </cell>
          <cell r="F165" t="str">
            <v>SELL</v>
          </cell>
          <cell r="H165">
            <v>444.44444444444446</v>
          </cell>
          <cell r="U165">
            <v>-383.27666666666846</v>
          </cell>
          <cell r="AD165">
            <v>1</v>
          </cell>
        </row>
        <row r="166">
          <cell r="D166">
            <v>42465</v>
          </cell>
          <cell r="F166" t="str">
            <v>SELL</v>
          </cell>
          <cell r="H166">
            <v>5464.4808743169397</v>
          </cell>
          <cell r="U166">
            <v>-281.46442622950963</v>
          </cell>
          <cell r="AD166">
            <v>1</v>
          </cell>
        </row>
        <row r="167">
          <cell r="D167">
            <v>42466</v>
          </cell>
          <cell r="F167" t="str">
            <v>SELL</v>
          </cell>
          <cell r="H167">
            <v>2188.1838074398247</v>
          </cell>
          <cell r="U167">
            <v>206.28757111597224</v>
          </cell>
          <cell r="AD167">
            <v>2</v>
          </cell>
        </row>
        <row r="168">
          <cell r="D168">
            <v>42467</v>
          </cell>
          <cell r="F168" t="str">
            <v>BUY</v>
          </cell>
          <cell r="H168">
            <v>15151.51515151515</v>
          </cell>
          <cell r="U168">
            <v>0</v>
          </cell>
          <cell r="AD168">
            <v>0</v>
          </cell>
        </row>
        <row r="169">
          <cell r="D169">
            <v>42468</v>
          </cell>
          <cell r="F169" t="str">
            <v>BUY</v>
          </cell>
          <cell r="H169">
            <v>255.7544757033248</v>
          </cell>
          <cell r="U169">
            <v>0</v>
          </cell>
          <cell r="AD169">
            <v>0</v>
          </cell>
        </row>
        <row r="170">
          <cell r="D170">
            <v>42468</v>
          </cell>
          <cell r="F170" t="str">
            <v>BUY</v>
          </cell>
          <cell r="H170">
            <v>12048.192771084337</v>
          </cell>
          <cell r="U170">
            <v>0</v>
          </cell>
          <cell r="AD170">
            <v>0</v>
          </cell>
        </row>
        <row r="171">
          <cell r="D171">
            <v>42471</v>
          </cell>
          <cell r="F171" t="str">
            <v>BUY</v>
          </cell>
          <cell r="H171">
            <v>7751.937984496124</v>
          </cell>
          <cell r="U171">
            <v>0</v>
          </cell>
          <cell r="AD171">
            <v>0</v>
          </cell>
        </row>
        <row r="172">
          <cell r="D172">
            <v>42471</v>
          </cell>
          <cell r="F172" t="str">
            <v>BUY</v>
          </cell>
          <cell r="H172">
            <v>30769.23076923077</v>
          </cell>
          <cell r="U172">
            <v>0</v>
          </cell>
          <cell r="AD172">
            <v>0</v>
          </cell>
        </row>
        <row r="173">
          <cell r="D173">
            <v>42473</v>
          </cell>
          <cell r="F173" t="str">
            <v>BUY</v>
          </cell>
          <cell r="H173">
            <v>4048.5829959514167</v>
          </cell>
          <cell r="U173">
            <v>0</v>
          </cell>
          <cell r="AD173">
            <v>0</v>
          </cell>
        </row>
        <row r="174">
          <cell r="D174">
            <v>42473</v>
          </cell>
          <cell r="F174" t="str">
            <v>BUY</v>
          </cell>
          <cell r="H174">
            <v>1639.344262295082</v>
          </cell>
          <cell r="U174">
            <v>0</v>
          </cell>
          <cell r="AD174">
            <v>0</v>
          </cell>
        </row>
        <row r="175">
          <cell r="D175">
            <v>42473</v>
          </cell>
          <cell r="F175" t="str">
            <v>BUY</v>
          </cell>
          <cell r="H175">
            <v>121.50668286755771</v>
          </cell>
          <cell r="U175">
            <v>0</v>
          </cell>
          <cell r="AD175">
            <v>0</v>
          </cell>
        </row>
        <row r="176">
          <cell r="D176">
            <v>42475</v>
          </cell>
          <cell r="F176" t="str">
            <v>SELL</v>
          </cell>
          <cell r="H176">
            <v>4048.5829959514167</v>
          </cell>
          <cell r="U176">
            <v>-399.86080971659612</v>
          </cell>
          <cell r="AD176">
            <v>1</v>
          </cell>
        </row>
        <row r="177">
          <cell r="D177">
            <v>42475</v>
          </cell>
          <cell r="F177" t="str">
            <v>SELL</v>
          </cell>
          <cell r="H177">
            <v>1639.344262295082</v>
          </cell>
          <cell r="U177">
            <v>-297.7178688524582</v>
          </cell>
          <cell r="AD177">
            <v>1</v>
          </cell>
        </row>
        <row r="178">
          <cell r="D178">
            <v>42475</v>
          </cell>
          <cell r="F178" t="str">
            <v>SELL</v>
          </cell>
          <cell r="H178">
            <v>7751.937984496124</v>
          </cell>
          <cell r="U178">
            <v>-195.82937984496493</v>
          </cell>
          <cell r="AD178">
            <v>1</v>
          </cell>
        </row>
        <row r="179">
          <cell r="D179">
            <v>42478</v>
          </cell>
          <cell r="F179" t="str">
            <v>SELL</v>
          </cell>
          <cell r="H179">
            <v>9523.8095238095229</v>
          </cell>
          <cell r="U179">
            <v>3278.89142857142</v>
          </cell>
          <cell r="AD179">
            <v>2</v>
          </cell>
        </row>
        <row r="180">
          <cell r="D180">
            <v>42480</v>
          </cell>
          <cell r="F180" t="str">
            <v>BUY</v>
          </cell>
          <cell r="H180">
            <v>1795.3321364452422</v>
          </cell>
          <cell r="U180">
            <v>0</v>
          </cell>
          <cell r="AD180">
            <v>0</v>
          </cell>
        </row>
        <row r="181">
          <cell r="D181">
            <v>42480</v>
          </cell>
          <cell r="F181" t="str">
            <v>SELL</v>
          </cell>
          <cell r="H181">
            <v>12048.192771084337</v>
          </cell>
          <cell r="U181">
            <v>2866.0981927710855</v>
          </cell>
          <cell r="AD181">
            <v>2</v>
          </cell>
        </row>
        <row r="182">
          <cell r="D182">
            <v>42482</v>
          </cell>
          <cell r="F182" t="str">
            <v>BUY</v>
          </cell>
          <cell r="H182">
            <v>153.84615384615384</v>
          </cell>
          <cell r="U182">
            <v>0</v>
          </cell>
          <cell r="AD182">
            <v>0</v>
          </cell>
        </row>
        <row r="183">
          <cell r="D183">
            <v>42485</v>
          </cell>
          <cell r="F183" t="str">
            <v>SELL</v>
          </cell>
          <cell r="H183">
            <v>255.7544757033248</v>
          </cell>
          <cell r="U183">
            <v>210.51081841431915</v>
          </cell>
          <cell r="AD183">
            <v>2</v>
          </cell>
        </row>
        <row r="184">
          <cell r="D184">
            <v>42487</v>
          </cell>
          <cell r="F184" t="str">
            <v>BUY</v>
          </cell>
          <cell r="H184">
            <v>259.74025974025972</v>
          </cell>
          <cell r="U184">
            <v>0</v>
          </cell>
          <cell r="AD184">
            <v>0</v>
          </cell>
        </row>
        <row r="185">
          <cell r="D185">
            <v>42488</v>
          </cell>
          <cell r="F185" t="str">
            <v>BUY</v>
          </cell>
          <cell r="H185">
            <v>6993.0069930069931</v>
          </cell>
          <cell r="U185">
            <v>0</v>
          </cell>
          <cell r="AD185">
            <v>0</v>
          </cell>
        </row>
        <row r="186">
          <cell r="D186">
            <v>42488</v>
          </cell>
          <cell r="F186" t="str">
            <v>BUY</v>
          </cell>
          <cell r="H186">
            <v>436.68122270742361</v>
          </cell>
          <cell r="U186">
            <v>0</v>
          </cell>
          <cell r="AD186">
            <v>0</v>
          </cell>
        </row>
        <row r="187">
          <cell r="D187">
            <v>42489</v>
          </cell>
          <cell r="F187" t="str">
            <v>SELL</v>
          </cell>
          <cell r="H187">
            <v>6993.0069930069931</v>
          </cell>
          <cell r="U187">
            <v>-950.66083916083335</v>
          </cell>
          <cell r="AD187">
            <v>1</v>
          </cell>
        </row>
        <row r="188">
          <cell r="D188">
            <v>42492</v>
          </cell>
          <cell r="F188" t="str">
            <v>SELL</v>
          </cell>
          <cell r="H188">
            <v>9708.7378640776697</v>
          </cell>
          <cell r="U188">
            <v>17104.100776699033</v>
          </cell>
          <cell r="AD188">
            <v>2</v>
          </cell>
        </row>
        <row r="189">
          <cell r="D189">
            <v>42500</v>
          </cell>
          <cell r="F189" t="str">
            <v>BUY</v>
          </cell>
          <cell r="H189">
            <v>43.478260869565219</v>
          </cell>
          <cell r="U189">
            <v>0</v>
          </cell>
          <cell r="AD189">
            <v>0</v>
          </cell>
        </row>
        <row r="190">
          <cell r="D190">
            <v>42500</v>
          </cell>
          <cell r="F190" t="str">
            <v>BUY</v>
          </cell>
          <cell r="H190">
            <v>4.5045045045045047</v>
          </cell>
          <cell r="U190">
            <v>0</v>
          </cell>
          <cell r="AD190">
            <v>0</v>
          </cell>
        </row>
        <row r="191">
          <cell r="D191">
            <v>42501</v>
          </cell>
          <cell r="F191" t="str">
            <v>BUY</v>
          </cell>
          <cell r="H191">
            <v>7.0671378091872787</v>
          </cell>
          <cell r="U191">
            <v>0</v>
          </cell>
          <cell r="AD191">
            <v>0</v>
          </cell>
        </row>
        <row r="192">
          <cell r="D192">
            <v>42501</v>
          </cell>
          <cell r="F192" t="str">
            <v>BUY</v>
          </cell>
          <cell r="H192">
            <v>5263.1578947368425</v>
          </cell>
          <cell r="U192">
            <v>0</v>
          </cell>
          <cell r="AD192">
            <v>0</v>
          </cell>
        </row>
        <row r="193">
          <cell r="D193">
            <v>42502</v>
          </cell>
          <cell r="F193" t="str">
            <v>BUY</v>
          </cell>
          <cell r="H193">
            <v>2427.1844660194174</v>
          </cell>
          <cell r="U193">
            <v>0</v>
          </cell>
          <cell r="AD193">
            <v>0</v>
          </cell>
        </row>
        <row r="194">
          <cell r="D194">
            <v>42502</v>
          </cell>
          <cell r="F194" t="str">
            <v>SELL</v>
          </cell>
          <cell r="H194">
            <v>43.478260869565219</v>
          </cell>
          <cell r="U194">
            <v>-127.62565217391057</v>
          </cell>
          <cell r="AD194">
            <v>1</v>
          </cell>
        </row>
        <row r="195">
          <cell r="D195">
            <v>42503</v>
          </cell>
          <cell r="F195" t="str">
            <v>BUY</v>
          </cell>
          <cell r="H195">
            <v>1282.051282051282</v>
          </cell>
          <cell r="U195">
            <v>0</v>
          </cell>
          <cell r="AD195">
            <v>0</v>
          </cell>
        </row>
        <row r="196">
          <cell r="D196">
            <v>42503</v>
          </cell>
          <cell r="F196" t="str">
            <v>BUY</v>
          </cell>
          <cell r="H196">
            <v>42.625745950554133</v>
          </cell>
          <cell r="U196">
            <v>0</v>
          </cell>
          <cell r="AD196">
            <v>0</v>
          </cell>
        </row>
        <row r="197">
          <cell r="D197">
            <v>42503</v>
          </cell>
          <cell r="F197" t="str">
            <v>SELL</v>
          </cell>
          <cell r="H197">
            <v>436.68122270742361</v>
          </cell>
          <cell r="U197">
            <v>270.49310043668083</v>
          </cell>
          <cell r="AD197">
            <v>2</v>
          </cell>
        </row>
        <row r="198">
          <cell r="D198">
            <v>42503</v>
          </cell>
          <cell r="F198" t="str">
            <v>SELL</v>
          </cell>
          <cell r="H198">
            <v>30769.23076923077</v>
          </cell>
          <cell r="U198">
            <v>3540.2676923076942</v>
          </cell>
          <cell r="AD198">
            <v>2</v>
          </cell>
        </row>
        <row r="199">
          <cell r="D199">
            <v>42508</v>
          </cell>
          <cell r="F199" t="str">
            <v>SELL</v>
          </cell>
          <cell r="H199">
            <v>7.0671378091872787</v>
          </cell>
          <cell r="U199">
            <v>-13.952932862188391</v>
          </cell>
          <cell r="AD199">
            <v>1</v>
          </cell>
        </row>
        <row r="200">
          <cell r="D200">
            <v>42508</v>
          </cell>
          <cell r="F200" t="str">
            <v>SELL</v>
          </cell>
          <cell r="H200">
            <v>2427.1844660194174</v>
          </cell>
          <cell r="U200">
            <v>265.86951456310817</v>
          </cell>
          <cell r="AD200">
            <v>2</v>
          </cell>
        </row>
        <row r="201">
          <cell r="D201">
            <v>42509</v>
          </cell>
          <cell r="F201" t="str">
            <v>SELL</v>
          </cell>
          <cell r="H201">
            <v>13.245033112582782</v>
          </cell>
          <cell r="U201">
            <v>550.45668874172225</v>
          </cell>
          <cell r="AD201">
            <v>2</v>
          </cell>
        </row>
        <row r="202">
          <cell r="D202">
            <v>42510</v>
          </cell>
          <cell r="F202" t="str">
            <v>BUY</v>
          </cell>
          <cell r="H202">
            <v>1485.8841010401188</v>
          </cell>
          <cell r="U202">
            <v>0</v>
          </cell>
          <cell r="AD202">
            <v>0</v>
          </cell>
        </row>
        <row r="203">
          <cell r="D203">
            <v>42510</v>
          </cell>
          <cell r="F203" t="str">
            <v>SELL</v>
          </cell>
          <cell r="H203">
            <v>1282.051282051282</v>
          </cell>
          <cell r="U203">
            <v>-309.58769230769212</v>
          </cell>
          <cell r="AD203">
            <v>1</v>
          </cell>
        </row>
        <row r="204">
          <cell r="D204">
            <v>42510</v>
          </cell>
          <cell r="F204" t="str">
            <v>SELL</v>
          </cell>
          <cell r="H204">
            <v>945.17958412098301</v>
          </cell>
          <cell r="U204">
            <v>368.09338374290928</v>
          </cell>
          <cell r="AD204">
            <v>2</v>
          </cell>
        </row>
        <row r="205">
          <cell r="D205">
            <v>42513</v>
          </cell>
          <cell r="F205" t="str">
            <v>SELL</v>
          </cell>
          <cell r="H205">
            <v>121.50668286755771</v>
          </cell>
          <cell r="U205">
            <v>922.61280680437449</v>
          </cell>
          <cell r="AD205">
            <v>2</v>
          </cell>
        </row>
        <row r="206">
          <cell r="D206">
            <v>42515</v>
          </cell>
          <cell r="F206" t="str">
            <v>BUY</v>
          </cell>
          <cell r="H206">
            <v>1618.1229773462785</v>
          </cell>
          <cell r="U206">
            <v>0</v>
          </cell>
          <cell r="AD206">
            <v>0</v>
          </cell>
        </row>
        <row r="207">
          <cell r="D207">
            <v>42515</v>
          </cell>
          <cell r="F207" t="str">
            <v>SELL</v>
          </cell>
          <cell r="H207">
            <v>1485.8841010401188</v>
          </cell>
          <cell r="U207">
            <v>-133.7288410104029</v>
          </cell>
          <cell r="AD207">
            <v>1</v>
          </cell>
        </row>
        <row r="208">
          <cell r="D208">
            <v>42516</v>
          </cell>
          <cell r="F208" t="str">
            <v>BUY</v>
          </cell>
          <cell r="H208">
            <v>104166.66666666667</v>
          </cell>
          <cell r="U208">
            <v>0</v>
          </cell>
          <cell r="AD208">
            <v>0</v>
          </cell>
        </row>
        <row r="209">
          <cell r="D209">
            <v>42516</v>
          </cell>
          <cell r="F209" t="str">
            <v>SELL</v>
          </cell>
          <cell r="H209">
            <v>1618.1229773462785</v>
          </cell>
          <cell r="U209">
            <v>-375.57967637540423</v>
          </cell>
          <cell r="AD209">
            <v>1</v>
          </cell>
        </row>
        <row r="210">
          <cell r="D210">
            <v>42516</v>
          </cell>
          <cell r="F210" t="str">
            <v>SELL</v>
          </cell>
          <cell r="H210">
            <v>42.625745950554133</v>
          </cell>
          <cell r="U210">
            <v>-161.24574595055856</v>
          </cell>
          <cell r="AD210">
            <v>1</v>
          </cell>
        </row>
        <row r="211">
          <cell r="D211">
            <v>42517</v>
          </cell>
          <cell r="F211" t="str">
            <v>BUY</v>
          </cell>
          <cell r="H211">
            <v>77.881619937694694</v>
          </cell>
          <cell r="U211">
            <v>0</v>
          </cell>
          <cell r="AD211">
            <v>0</v>
          </cell>
        </row>
        <row r="212">
          <cell r="D212">
            <v>42517</v>
          </cell>
          <cell r="F212" t="str">
            <v>SELL</v>
          </cell>
          <cell r="H212">
            <v>104166.66666666667</v>
          </cell>
          <cell r="U212">
            <v>-325.4733333333279</v>
          </cell>
          <cell r="AD212">
            <v>1</v>
          </cell>
        </row>
        <row r="213">
          <cell r="D213">
            <v>42521</v>
          </cell>
          <cell r="F213" t="str">
            <v>BUY</v>
          </cell>
          <cell r="H213">
            <v>854.70085470085473</v>
          </cell>
          <cell r="U213">
            <v>0</v>
          </cell>
          <cell r="AD213">
            <v>0</v>
          </cell>
        </row>
        <row r="214">
          <cell r="D214">
            <v>42521</v>
          </cell>
          <cell r="F214" t="str">
            <v>BUY</v>
          </cell>
          <cell r="H214">
            <v>2222.2222222222222</v>
          </cell>
          <cell r="U214">
            <v>0</v>
          </cell>
          <cell r="AD214">
            <v>0</v>
          </cell>
        </row>
        <row r="215">
          <cell r="D215">
            <v>42521</v>
          </cell>
          <cell r="F215" t="str">
            <v>BUY</v>
          </cell>
          <cell r="H215">
            <v>49.261083743842363</v>
          </cell>
          <cell r="U215">
            <v>0</v>
          </cell>
          <cell r="AD215">
            <v>0</v>
          </cell>
        </row>
        <row r="216">
          <cell r="D216">
            <v>42521</v>
          </cell>
          <cell r="F216" t="str">
            <v>SELL</v>
          </cell>
          <cell r="H216">
            <v>117.78563015312132</v>
          </cell>
          <cell r="U216">
            <v>738.98438162544153</v>
          </cell>
          <cell r="AD216">
            <v>2</v>
          </cell>
        </row>
        <row r="217">
          <cell r="D217">
            <v>42522</v>
          </cell>
          <cell r="F217" t="str">
            <v>SELL</v>
          </cell>
          <cell r="H217">
            <v>77.881619937694694</v>
          </cell>
          <cell r="U217">
            <v>-149.87264797507851</v>
          </cell>
          <cell r="AD217">
            <v>1</v>
          </cell>
        </row>
        <row r="218">
          <cell r="D218">
            <v>42523</v>
          </cell>
          <cell r="F218" t="str">
            <v>SELL</v>
          </cell>
          <cell r="H218">
            <v>202.02020202020202</v>
          </cell>
          <cell r="U218">
            <v>5286.7154545454541</v>
          </cell>
          <cell r="AD218">
            <v>2</v>
          </cell>
        </row>
        <row r="219">
          <cell r="D219">
            <v>42524</v>
          </cell>
          <cell r="F219" t="str">
            <v>BUY</v>
          </cell>
          <cell r="H219">
            <v>7142.8571428571431</v>
          </cell>
          <cell r="U219">
            <v>0</v>
          </cell>
          <cell r="AD219">
            <v>0</v>
          </cell>
        </row>
        <row r="220">
          <cell r="D220">
            <v>42524</v>
          </cell>
          <cell r="F220" t="str">
            <v>BUY</v>
          </cell>
          <cell r="H220">
            <v>128.28736369467606</v>
          </cell>
          <cell r="U220">
            <v>0</v>
          </cell>
          <cell r="AD220">
            <v>0</v>
          </cell>
        </row>
        <row r="221">
          <cell r="D221">
            <v>42527</v>
          </cell>
          <cell r="F221" t="str">
            <v>BUY</v>
          </cell>
          <cell r="H221">
            <v>1007.0493454179255</v>
          </cell>
          <cell r="U221">
            <v>0</v>
          </cell>
          <cell r="AD221">
            <v>0</v>
          </cell>
        </row>
        <row r="222">
          <cell r="D222">
            <v>42527</v>
          </cell>
          <cell r="F222" t="str">
            <v>BUY</v>
          </cell>
          <cell r="H222">
            <v>1886.7924528301887</v>
          </cell>
          <cell r="U222">
            <v>0</v>
          </cell>
          <cell r="AD222">
            <v>0</v>
          </cell>
        </row>
        <row r="223">
          <cell r="D223">
            <v>42527</v>
          </cell>
          <cell r="F223" t="str">
            <v>BUY</v>
          </cell>
          <cell r="H223">
            <v>2132.1961620469083</v>
          </cell>
          <cell r="U223">
            <v>0</v>
          </cell>
          <cell r="AD223">
            <v>0</v>
          </cell>
        </row>
        <row r="224">
          <cell r="D224">
            <v>42528</v>
          </cell>
          <cell r="F224" t="str">
            <v>BUY</v>
          </cell>
          <cell r="H224">
            <v>204.49897750511249</v>
          </cell>
          <cell r="U224">
            <v>0</v>
          </cell>
          <cell r="AD224">
            <v>0</v>
          </cell>
        </row>
        <row r="225">
          <cell r="D225">
            <v>42528</v>
          </cell>
          <cell r="F225" t="str">
            <v>BUY</v>
          </cell>
          <cell r="H225">
            <v>571.42857142857144</v>
          </cell>
          <cell r="U225">
            <v>0</v>
          </cell>
          <cell r="AD225">
            <v>0</v>
          </cell>
        </row>
        <row r="226">
          <cell r="D226">
            <v>42528</v>
          </cell>
          <cell r="F226" t="str">
            <v>SELL</v>
          </cell>
          <cell r="H226">
            <v>5263.1578947368425</v>
          </cell>
          <cell r="U226">
            <v>350.454210526319</v>
          </cell>
          <cell r="AD226">
            <v>2</v>
          </cell>
        </row>
        <row r="227">
          <cell r="D227">
            <v>42529</v>
          </cell>
          <cell r="F227" t="str">
            <v>SELL</v>
          </cell>
          <cell r="H227">
            <v>204.49897750511249</v>
          </cell>
          <cell r="U227">
            <v>-493.93310838445905</v>
          </cell>
          <cell r="AD227">
            <v>1</v>
          </cell>
        </row>
        <row r="228">
          <cell r="D228">
            <v>42529</v>
          </cell>
          <cell r="F228" t="str">
            <v>SELL</v>
          </cell>
          <cell r="H228">
            <v>2222.2222222222222</v>
          </cell>
          <cell r="U228">
            <v>-229.11111111110949</v>
          </cell>
          <cell r="AD228">
            <v>1</v>
          </cell>
        </row>
        <row r="229">
          <cell r="D229">
            <v>42530</v>
          </cell>
          <cell r="F229" t="str">
            <v>BUY</v>
          </cell>
          <cell r="H229">
            <v>4237.2881355932204</v>
          </cell>
          <cell r="U229">
            <v>0</v>
          </cell>
          <cell r="AD229">
            <v>0</v>
          </cell>
        </row>
        <row r="230">
          <cell r="D230">
            <v>42530</v>
          </cell>
          <cell r="F230" t="str">
            <v>SELL</v>
          </cell>
          <cell r="H230">
            <v>4.5045045045045047</v>
          </cell>
          <cell r="U230">
            <v>523.85864864864743</v>
          </cell>
          <cell r="AD230">
            <v>2</v>
          </cell>
        </row>
        <row r="231">
          <cell r="D231">
            <v>42531</v>
          </cell>
          <cell r="F231" t="str">
            <v>SELL</v>
          </cell>
          <cell r="H231">
            <v>1007.0493454179255</v>
          </cell>
          <cell r="U231">
            <v>-248.73641490432965</v>
          </cell>
          <cell r="AD231">
            <v>1</v>
          </cell>
        </row>
        <row r="232">
          <cell r="D232">
            <v>42534</v>
          </cell>
          <cell r="F232" t="str">
            <v>BUY</v>
          </cell>
          <cell r="H232">
            <v>396.82539682539681</v>
          </cell>
          <cell r="U232">
            <v>0</v>
          </cell>
          <cell r="AD232">
            <v>0</v>
          </cell>
        </row>
        <row r="233">
          <cell r="D233">
            <v>42534</v>
          </cell>
          <cell r="F233" t="str">
            <v>SELL</v>
          </cell>
          <cell r="H233">
            <v>259.74025974025972</v>
          </cell>
          <cell r="U233">
            <v>5080.8032467532448</v>
          </cell>
          <cell r="AD233">
            <v>2</v>
          </cell>
        </row>
        <row r="234">
          <cell r="D234">
            <v>42537</v>
          </cell>
          <cell r="F234" t="str">
            <v>BUY</v>
          </cell>
          <cell r="H234">
            <v>3891.0505836575876</v>
          </cell>
          <cell r="U234">
            <v>0</v>
          </cell>
          <cell r="AD234">
            <v>0</v>
          </cell>
        </row>
        <row r="235">
          <cell r="D235">
            <v>42541</v>
          </cell>
          <cell r="F235" t="str">
            <v>BUY</v>
          </cell>
          <cell r="H235">
            <v>113.63636363636364</v>
          </cell>
          <cell r="U235">
            <v>0</v>
          </cell>
          <cell r="AD235">
            <v>0</v>
          </cell>
        </row>
        <row r="236">
          <cell r="D236">
            <v>42541</v>
          </cell>
          <cell r="F236" t="str">
            <v>BUY</v>
          </cell>
          <cell r="H236">
            <v>10989.010989010989</v>
          </cell>
          <cell r="U236">
            <v>0</v>
          </cell>
          <cell r="AD236">
            <v>0</v>
          </cell>
        </row>
        <row r="237">
          <cell r="D237">
            <v>42541</v>
          </cell>
          <cell r="F237" t="str">
            <v>SELL</v>
          </cell>
          <cell r="H237">
            <v>5820.7217694994179</v>
          </cell>
          <cell r="U237">
            <v>700.14249126891809</v>
          </cell>
          <cell r="AD237">
            <v>2</v>
          </cell>
        </row>
        <row r="238">
          <cell r="D238">
            <v>42542</v>
          </cell>
          <cell r="F238" t="str">
            <v>BUY</v>
          </cell>
          <cell r="H238">
            <v>11.764705882352942</v>
          </cell>
          <cell r="U238">
            <v>0</v>
          </cell>
          <cell r="AD238">
            <v>0</v>
          </cell>
        </row>
        <row r="239">
          <cell r="D239">
            <v>42543</v>
          </cell>
          <cell r="F239" t="str">
            <v>BUY</v>
          </cell>
          <cell r="H239">
            <v>1282.051282051282</v>
          </cell>
          <cell r="U239">
            <v>0</v>
          </cell>
          <cell r="AD239">
            <v>0</v>
          </cell>
        </row>
        <row r="240">
          <cell r="D240">
            <v>42543</v>
          </cell>
          <cell r="F240" t="str">
            <v>SELL</v>
          </cell>
          <cell r="H240">
            <v>2551.0204081632655</v>
          </cell>
          <cell r="U240">
            <v>-1433.6506122448991</v>
          </cell>
          <cell r="AD240">
            <v>1</v>
          </cell>
        </row>
        <row r="241">
          <cell r="D241">
            <v>42544</v>
          </cell>
          <cell r="F241" t="str">
            <v>BUY</v>
          </cell>
          <cell r="H241">
            <v>25000</v>
          </cell>
          <cell r="U241">
            <v>0</v>
          </cell>
          <cell r="AD241">
            <v>0</v>
          </cell>
        </row>
        <row r="242">
          <cell r="D242">
            <v>42544</v>
          </cell>
          <cell r="F242" t="str">
            <v>SELL</v>
          </cell>
          <cell r="H242">
            <v>11.764705882352942</v>
          </cell>
          <cell r="U242">
            <v>-153.98411764705997</v>
          </cell>
          <cell r="AD242">
            <v>1</v>
          </cell>
        </row>
        <row r="243">
          <cell r="D243">
            <v>42545</v>
          </cell>
          <cell r="F243" t="str">
            <v>SELL</v>
          </cell>
          <cell r="H243">
            <v>2132.1961620469083</v>
          </cell>
          <cell r="U243">
            <v>1508.1110447761184</v>
          </cell>
          <cell r="AD243">
            <v>2</v>
          </cell>
        </row>
        <row r="244">
          <cell r="D244">
            <v>42548</v>
          </cell>
          <cell r="F244" t="str">
            <v>BUY</v>
          </cell>
          <cell r="H244">
            <v>102.09290454313425</v>
          </cell>
          <cell r="U244">
            <v>0</v>
          </cell>
          <cell r="AD244">
            <v>0</v>
          </cell>
        </row>
        <row r="245">
          <cell r="D245">
            <v>42549</v>
          </cell>
          <cell r="F245" t="str">
            <v>BUY</v>
          </cell>
          <cell r="H245">
            <v>1686.3406408094436</v>
          </cell>
          <cell r="U245">
            <v>0</v>
          </cell>
          <cell r="AD245">
            <v>0</v>
          </cell>
        </row>
        <row r="246">
          <cell r="D246">
            <v>42549</v>
          </cell>
          <cell r="F246" t="str">
            <v>SELL</v>
          </cell>
          <cell r="H246">
            <v>4237.2881355932204</v>
          </cell>
          <cell r="U246">
            <v>-244.97864406779809</v>
          </cell>
          <cell r="AD246">
            <v>1</v>
          </cell>
        </row>
        <row r="247">
          <cell r="D247">
            <v>42552</v>
          </cell>
          <cell r="F247" t="str">
            <v>BUY</v>
          </cell>
          <cell r="H247">
            <v>15.151515151515152</v>
          </cell>
          <cell r="U247">
            <v>0</v>
          </cell>
          <cell r="AD247">
            <v>0</v>
          </cell>
        </row>
        <row r="248">
          <cell r="D248">
            <v>42552</v>
          </cell>
          <cell r="F248" t="str">
            <v>SELL</v>
          </cell>
          <cell r="H248">
            <v>113.63636363636364</v>
          </cell>
          <cell r="U248">
            <v>-6.3736363636362512</v>
          </cell>
          <cell r="AD248">
            <v>1</v>
          </cell>
        </row>
        <row r="249">
          <cell r="D249">
            <v>42556</v>
          </cell>
          <cell r="F249" t="str">
            <v>SELL</v>
          </cell>
          <cell r="H249">
            <v>153.84615384615384</v>
          </cell>
          <cell r="U249">
            <v>1634.3907692307694</v>
          </cell>
          <cell r="AD249">
            <v>2</v>
          </cell>
        </row>
        <row r="250">
          <cell r="D250">
            <v>42558</v>
          </cell>
          <cell r="F250" t="str">
            <v>BUY</v>
          </cell>
          <cell r="H250">
            <v>225.47914317925591</v>
          </cell>
          <cell r="U250">
            <v>0</v>
          </cell>
          <cell r="AD250">
            <v>0</v>
          </cell>
        </row>
        <row r="251">
          <cell r="D251">
            <v>42559</v>
          </cell>
          <cell r="F251" t="str">
            <v>SELL</v>
          </cell>
          <cell r="H251">
            <v>7142.8571428571431</v>
          </cell>
          <cell r="U251">
            <v>-685.30857142856257</v>
          </cell>
          <cell r="AD251">
            <v>1</v>
          </cell>
        </row>
        <row r="252">
          <cell r="D252">
            <v>42562</v>
          </cell>
          <cell r="F252" t="str">
            <v>BUY</v>
          </cell>
          <cell r="H252">
            <v>1424.5014245014245</v>
          </cell>
          <cell r="U252">
            <v>0</v>
          </cell>
          <cell r="AD252">
            <v>0</v>
          </cell>
        </row>
        <row r="253">
          <cell r="D253">
            <v>42562</v>
          </cell>
          <cell r="F253" t="str">
            <v>SELL</v>
          </cell>
          <cell r="H253">
            <v>10989.010989010989</v>
          </cell>
          <cell r="U253">
            <v>534.43065934065453</v>
          </cell>
          <cell r="AD253">
            <v>2</v>
          </cell>
        </row>
        <row r="254">
          <cell r="D254">
            <v>42563</v>
          </cell>
          <cell r="F254" t="str">
            <v>BUY</v>
          </cell>
          <cell r="H254">
            <v>251.88916876574305</v>
          </cell>
          <cell r="U254">
            <v>0</v>
          </cell>
          <cell r="AD254">
            <v>0</v>
          </cell>
        </row>
        <row r="255">
          <cell r="D255">
            <v>42565</v>
          </cell>
          <cell r="F255" t="str">
            <v>BUY</v>
          </cell>
          <cell r="H255">
            <v>625</v>
          </cell>
          <cell r="U255">
            <v>0</v>
          </cell>
          <cell r="AD255">
            <v>0</v>
          </cell>
        </row>
        <row r="256">
          <cell r="D256">
            <v>42565</v>
          </cell>
          <cell r="F256" t="str">
            <v>SELL</v>
          </cell>
          <cell r="H256">
            <v>1686.3406408094436</v>
          </cell>
          <cell r="U256">
            <v>1000.738229342327</v>
          </cell>
          <cell r="AD256">
            <v>2</v>
          </cell>
        </row>
        <row r="257">
          <cell r="D257">
            <v>42569</v>
          </cell>
          <cell r="F257" t="str">
            <v>BUY</v>
          </cell>
          <cell r="H257">
            <v>9615.3846153846152</v>
          </cell>
          <cell r="U257">
            <v>0</v>
          </cell>
          <cell r="AD257">
            <v>0</v>
          </cell>
        </row>
        <row r="258">
          <cell r="D258">
            <v>42569</v>
          </cell>
          <cell r="F258" t="str">
            <v>SELL</v>
          </cell>
          <cell r="H258">
            <v>625</v>
          </cell>
          <cell r="U258">
            <v>-94.219999999999345</v>
          </cell>
          <cell r="AD258">
            <v>1</v>
          </cell>
        </row>
        <row r="259">
          <cell r="D259">
            <v>42571</v>
          </cell>
          <cell r="F259" t="str">
            <v>SELL</v>
          </cell>
          <cell r="H259">
            <v>1795.3321364452422</v>
          </cell>
          <cell r="U259">
            <v>290.23639138240469</v>
          </cell>
          <cell r="AD259">
            <v>2</v>
          </cell>
        </row>
        <row r="260">
          <cell r="D260">
            <v>42572</v>
          </cell>
          <cell r="F260" t="str">
            <v>BUY</v>
          </cell>
          <cell r="H260">
            <v>5000</v>
          </cell>
          <cell r="U260">
            <v>0</v>
          </cell>
          <cell r="AD260">
            <v>0</v>
          </cell>
        </row>
        <row r="261">
          <cell r="D261">
            <v>42572</v>
          </cell>
          <cell r="F261" t="str">
            <v>BUY</v>
          </cell>
          <cell r="H261">
            <v>775.19379844961236</v>
          </cell>
          <cell r="U261">
            <v>0</v>
          </cell>
          <cell r="AD261">
            <v>0</v>
          </cell>
        </row>
        <row r="262">
          <cell r="D262">
            <v>42572</v>
          </cell>
          <cell r="F262" t="str">
            <v>SELL</v>
          </cell>
          <cell r="H262">
            <v>25000</v>
          </cell>
          <cell r="U262">
            <v>-366.78000000000429</v>
          </cell>
          <cell r="AD262">
            <v>1</v>
          </cell>
        </row>
        <row r="263">
          <cell r="D263">
            <v>42572</v>
          </cell>
          <cell r="F263" t="str">
            <v>SELL</v>
          </cell>
          <cell r="H263">
            <v>19230.76923076923</v>
          </cell>
          <cell r="U263">
            <v>71.587692307693942</v>
          </cell>
          <cell r="AD263">
            <v>2</v>
          </cell>
        </row>
        <row r="264">
          <cell r="D264">
            <v>42576</v>
          </cell>
          <cell r="F264" t="str">
            <v>BUY</v>
          </cell>
          <cell r="H264">
            <v>24691.358024691355</v>
          </cell>
          <cell r="U264">
            <v>0</v>
          </cell>
          <cell r="AD264">
            <v>0</v>
          </cell>
        </row>
        <row r="265">
          <cell r="D265">
            <v>42577</v>
          </cell>
          <cell r="F265" t="str">
            <v>SELL</v>
          </cell>
          <cell r="H265">
            <v>24691.358024691355</v>
          </cell>
          <cell r="U265">
            <v>-363.7135802469038</v>
          </cell>
          <cell r="AD265">
            <v>1</v>
          </cell>
        </row>
        <row r="266">
          <cell r="D266">
            <v>42577</v>
          </cell>
          <cell r="F266" t="str">
            <v>SELL</v>
          </cell>
          <cell r="H266">
            <v>15.151515151515152</v>
          </cell>
          <cell r="U266">
            <v>31.145151515151156</v>
          </cell>
          <cell r="AD266">
            <v>2</v>
          </cell>
        </row>
        <row r="267">
          <cell r="D267">
            <v>42577</v>
          </cell>
          <cell r="F267" t="str">
            <v>SELL</v>
          </cell>
          <cell r="H267">
            <v>1424.5014245014245</v>
          </cell>
          <cell r="U267">
            <v>332.75045584044892</v>
          </cell>
          <cell r="AD267">
            <v>2</v>
          </cell>
        </row>
        <row r="268">
          <cell r="D268">
            <v>42578</v>
          </cell>
          <cell r="F268" t="str">
            <v>BUY</v>
          </cell>
          <cell r="H268">
            <v>38.759689922480618</v>
          </cell>
          <cell r="U268">
            <v>0</v>
          </cell>
          <cell r="AD268">
            <v>0</v>
          </cell>
        </row>
        <row r="269">
          <cell r="D269">
            <v>42578</v>
          </cell>
          <cell r="F269" t="str">
            <v>SELL</v>
          </cell>
          <cell r="H269">
            <v>15151.51515151515</v>
          </cell>
          <cell r="U269">
            <v>-269.14515151515297</v>
          </cell>
          <cell r="AD269">
            <v>1</v>
          </cell>
        </row>
        <row r="270">
          <cell r="D270">
            <v>42578</v>
          </cell>
          <cell r="F270" t="str">
            <v>SELL</v>
          </cell>
          <cell r="H270">
            <v>571.42857142857144</v>
          </cell>
          <cell r="U270">
            <v>1523.3128571428588</v>
          </cell>
          <cell r="AD270">
            <v>2</v>
          </cell>
        </row>
        <row r="271">
          <cell r="D271">
            <v>42579</v>
          </cell>
          <cell r="F271" t="str">
            <v>SELL</v>
          </cell>
          <cell r="H271">
            <v>251.88916876574305</v>
          </cell>
          <cell r="U271">
            <v>-44.103249370282356</v>
          </cell>
          <cell r="AD271">
            <v>1</v>
          </cell>
        </row>
        <row r="272">
          <cell r="D272">
            <v>42580</v>
          </cell>
          <cell r="F272" t="str">
            <v>SELL</v>
          </cell>
          <cell r="H272">
            <v>38.759689922480618</v>
          </cell>
          <cell r="U272">
            <v>-234.2390697674382</v>
          </cell>
          <cell r="AD272">
            <v>1</v>
          </cell>
        </row>
        <row r="273">
          <cell r="D273">
            <v>42580</v>
          </cell>
          <cell r="F273" t="str">
            <v>SELL</v>
          </cell>
          <cell r="H273">
            <v>1886.7924528301887</v>
          </cell>
          <cell r="U273">
            <v>1189.9347169811317</v>
          </cell>
          <cell r="AD273">
            <v>2</v>
          </cell>
        </row>
        <row r="274">
          <cell r="D274">
            <v>42583</v>
          </cell>
          <cell r="F274" t="str">
            <v>BUY</v>
          </cell>
          <cell r="H274">
            <v>2900.2320185614849</v>
          </cell>
          <cell r="U274">
            <v>0</v>
          </cell>
          <cell r="AD274">
            <v>0</v>
          </cell>
        </row>
        <row r="275">
          <cell r="D275">
            <v>42585</v>
          </cell>
          <cell r="F275" t="str">
            <v>SELL</v>
          </cell>
          <cell r="H275">
            <v>2900.2320185614849</v>
          </cell>
          <cell r="U275">
            <v>-831.80754060324944</v>
          </cell>
          <cell r="AD275">
            <v>1</v>
          </cell>
        </row>
        <row r="276">
          <cell r="D276">
            <v>42587</v>
          </cell>
          <cell r="F276" t="str">
            <v>BUY</v>
          </cell>
          <cell r="H276">
            <v>24691.358024691355</v>
          </cell>
          <cell r="U276">
            <v>0</v>
          </cell>
          <cell r="AD276">
            <v>0</v>
          </cell>
        </row>
        <row r="277">
          <cell r="D277">
            <v>42587</v>
          </cell>
          <cell r="F277" t="str">
            <v>BUY</v>
          </cell>
          <cell r="H277">
            <v>905.79710144927549</v>
          </cell>
          <cell r="U277">
            <v>0</v>
          </cell>
          <cell r="AD277">
            <v>0</v>
          </cell>
        </row>
        <row r="278">
          <cell r="D278">
            <v>42590</v>
          </cell>
          <cell r="F278" t="str">
            <v>BUY</v>
          </cell>
          <cell r="H278">
            <v>7518.7969924812023</v>
          </cell>
          <cell r="U278">
            <v>0</v>
          </cell>
          <cell r="AD278">
            <v>0</v>
          </cell>
        </row>
        <row r="279">
          <cell r="D279">
            <v>42590</v>
          </cell>
          <cell r="F279" t="str">
            <v>SELL</v>
          </cell>
          <cell r="H279">
            <v>49.261083743842363</v>
          </cell>
          <cell r="U279">
            <v>710.95842364532109</v>
          </cell>
          <cell r="AD279">
            <v>2</v>
          </cell>
        </row>
        <row r="280">
          <cell r="D280">
            <v>42591</v>
          </cell>
          <cell r="F280" t="str">
            <v>BUY</v>
          </cell>
          <cell r="H280">
            <v>243.605359317905</v>
          </cell>
          <cell r="U280">
            <v>0</v>
          </cell>
          <cell r="AD280">
            <v>0</v>
          </cell>
        </row>
        <row r="281">
          <cell r="D281">
            <v>42591</v>
          </cell>
          <cell r="F281" t="str">
            <v>SELL</v>
          </cell>
          <cell r="H281">
            <v>24691.358024691355</v>
          </cell>
          <cell r="U281">
            <v>-119.00000000001273</v>
          </cell>
          <cell r="AD281">
            <v>1</v>
          </cell>
        </row>
        <row r="282">
          <cell r="D282">
            <v>42592</v>
          </cell>
          <cell r="F282" t="str">
            <v>BUY</v>
          </cell>
          <cell r="H282">
            <v>2506.2656641604008</v>
          </cell>
          <cell r="U282">
            <v>0</v>
          </cell>
          <cell r="AD282">
            <v>0</v>
          </cell>
        </row>
        <row r="283">
          <cell r="D283">
            <v>42593</v>
          </cell>
          <cell r="F283" t="str">
            <v>BUY</v>
          </cell>
          <cell r="H283">
            <v>147.16703458425312</v>
          </cell>
          <cell r="U283">
            <v>0</v>
          </cell>
          <cell r="AD283">
            <v>0</v>
          </cell>
        </row>
        <row r="284">
          <cell r="D284">
            <v>42594</v>
          </cell>
          <cell r="F284" t="str">
            <v>BUY</v>
          </cell>
          <cell r="H284">
            <v>1615.508885298869</v>
          </cell>
          <cell r="U284">
            <v>0</v>
          </cell>
          <cell r="AD284">
            <v>0</v>
          </cell>
        </row>
        <row r="285">
          <cell r="D285">
            <v>42594</v>
          </cell>
          <cell r="F285" t="str">
            <v>SELL</v>
          </cell>
          <cell r="H285">
            <v>2506.2656641604008</v>
          </cell>
          <cell r="U285">
            <v>-317.71125313284756</v>
          </cell>
          <cell r="AD285">
            <v>1</v>
          </cell>
        </row>
        <row r="286">
          <cell r="D286">
            <v>42597</v>
          </cell>
          <cell r="F286" t="str">
            <v>BUY</v>
          </cell>
          <cell r="H286">
            <v>475.05938242280286</v>
          </cell>
          <cell r="U286">
            <v>0</v>
          </cell>
          <cell r="AD286">
            <v>0</v>
          </cell>
        </row>
        <row r="287">
          <cell r="D287">
            <v>42598</v>
          </cell>
          <cell r="F287" t="str">
            <v>BUY</v>
          </cell>
          <cell r="H287">
            <v>2604.166666666667</v>
          </cell>
          <cell r="U287">
            <v>0</v>
          </cell>
          <cell r="AD287">
            <v>0</v>
          </cell>
        </row>
        <row r="288">
          <cell r="D288">
            <v>42598</v>
          </cell>
          <cell r="F288" t="str">
            <v>BUY</v>
          </cell>
          <cell r="H288">
            <v>1661.1295681063125</v>
          </cell>
          <cell r="U288">
            <v>0</v>
          </cell>
          <cell r="AD288">
            <v>0</v>
          </cell>
        </row>
        <row r="289">
          <cell r="D289">
            <v>42599</v>
          </cell>
          <cell r="F289" t="str">
            <v>SELL</v>
          </cell>
          <cell r="H289">
            <v>243.605359317905</v>
          </cell>
          <cell r="U289">
            <v>-82.779196102315836</v>
          </cell>
          <cell r="AD289">
            <v>1</v>
          </cell>
        </row>
        <row r="290">
          <cell r="D290">
            <v>42601</v>
          </cell>
          <cell r="F290" t="str">
            <v>SELL</v>
          </cell>
          <cell r="H290">
            <v>475.05938242280286</v>
          </cell>
          <cell r="U290">
            <v>-24.838123515442931</v>
          </cell>
          <cell r="AD290">
            <v>1</v>
          </cell>
        </row>
        <row r="291">
          <cell r="D291">
            <v>42601</v>
          </cell>
          <cell r="F291" t="str">
            <v>SELL</v>
          </cell>
          <cell r="H291">
            <v>128.28736369467606</v>
          </cell>
          <cell r="U291">
            <v>650.1885503527883</v>
          </cell>
          <cell r="AD291">
            <v>2</v>
          </cell>
        </row>
        <row r="292">
          <cell r="D292">
            <v>42604</v>
          </cell>
          <cell r="F292" t="str">
            <v>BUY</v>
          </cell>
          <cell r="H292">
            <v>1265.8227848101264</v>
          </cell>
          <cell r="U292">
            <v>0</v>
          </cell>
          <cell r="AD292">
            <v>0</v>
          </cell>
        </row>
        <row r="293">
          <cell r="D293">
            <v>42605</v>
          </cell>
          <cell r="F293" t="str">
            <v>BUY</v>
          </cell>
          <cell r="H293">
            <v>607.5334143377886</v>
          </cell>
          <cell r="U293">
            <v>0</v>
          </cell>
          <cell r="AD293">
            <v>0</v>
          </cell>
        </row>
        <row r="294">
          <cell r="D294">
            <v>42606</v>
          </cell>
          <cell r="F294" t="str">
            <v>BUY</v>
          </cell>
          <cell r="H294">
            <v>11494.252873563219</v>
          </cell>
          <cell r="U294">
            <v>0</v>
          </cell>
          <cell r="AD294">
            <v>0</v>
          </cell>
        </row>
        <row r="295">
          <cell r="D295">
            <v>42607</v>
          </cell>
          <cell r="F295" t="str">
            <v>SELL</v>
          </cell>
          <cell r="H295">
            <v>1661.1295681063125</v>
          </cell>
          <cell r="U295">
            <v>490.11794019933586</v>
          </cell>
          <cell r="AD295">
            <v>2</v>
          </cell>
        </row>
        <row r="296">
          <cell r="D296">
            <v>42613</v>
          </cell>
          <cell r="F296" t="str">
            <v>BUY</v>
          </cell>
          <cell r="H296">
            <v>2631.5789473684213</v>
          </cell>
          <cell r="U296">
            <v>0</v>
          </cell>
          <cell r="AD296">
            <v>0</v>
          </cell>
        </row>
        <row r="297">
          <cell r="D297">
            <v>42614</v>
          </cell>
          <cell r="F297" t="str">
            <v>SELL</v>
          </cell>
          <cell r="H297">
            <v>147.16703458425312</v>
          </cell>
          <cell r="U297">
            <v>2148.9673877851365</v>
          </cell>
          <cell r="AD297">
            <v>2</v>
          </cell>
        </row>
        <row r="298">
          <cell r="D298">
            <v>42614</v>
          </cell>
          <cell r="F298" t="str">
            <v>SELL</v>
          </cell>
          <cell r="H298">
            <v>9615.3846153846152</v>
          </cell>
          <cell r="U298">
            <v>13222.058461538467</v>
          </cell>
          <cell r="AD298">
            <v>2</v>
          </cell>
        </row>
        <row r="299">
          <cell r="D299">
            <v>42615</v>
          </cell>
          <cell r="F299" t="str">
            <v>BUY</v>
          </cell>
          <cell r="H299">
            <v>14925.373134328358</v>
          </cell>
          <cell r="U299">
            <v>0</v>
          </cell>
          <cell r="AD299">
            <v>0</v>
          </cell>
        </row>
        <row r="300">
          <cell r="D300">
            <v>42618</v>
          </cell>
          <cell r="F300" t="str">
            <v>SELL</v>
          </cell>
          <cell r="H300">
            <v>14925.373134328358</v>
          </cell>
          <cell r="U300">
            <v>-710.67492537313228</v>
          </cell>
          <cell r="AD300">
            <v>1</v>
          </cell>
        </row>
        <row r="301">
          <cell r="D301">
            <v>42618</v>
          </cell>
          <cell r="F301" t="str">
            <v>SELL</v>
          </cell>
          <cell r="H301">
            <v>7518.7969924812023</v>
          </cell>
          <cell r="U301">
            <v>-44.482030075188959</v>
          </cell>
          <cell r="AD301">
            <v>1</v>
          </cell>
        </row>
        <row r="302">
          <cell r="D302">
            <v>42619</v>
          </cell>
          <cell r="F302" t="str">
            <v>SELL</v>
          </cell>
          <cell r="H302">
            <v>1265.8227848101264</v>
          </cell>
          <cell r="U302">
            <v>-119.00000000000182</v>
          </cell>
          <cell r="AD302">
            <v>1</v>
          </cell>
        </row>
        <row r="303">
          <cell r="D303">
            <v>42620</v>
          </cell>
          <cell r="F303" t="str">
            <v>SELL</v>
          </cell>
          <cell r="H303">
            <v>607.5334143377886</v>
          </cell>
          <cell r="U303">
            <v>-215.34534629404516</v>
          </cell>
          <cell r="AD303">
            <v>1</v>
          </cell>
        </row>
        <row r="304">
          <cell r="D304">
            <v>42621</v>
          </cell>
          <cell r="F304" t="str">
            <v>BUY</v>
          </cell>
          <cell r="H304">
            <v>598.80239520958082</v>
          </cell>
          <cell r="U304">
            <v>0</v>
          </cell>
          <cell r="AD304">
            <v>0</v>
          </cell>
        </row>
        <row r="305">
          <cell r="D305">
            <v>42622</v>
          </cell>
          <cell r="F305" t="str">
            <v>BUY</v>
          </cell>
          <cell r="H305">
            <v>877.19298245614027</v>
          </cell>
          <cell r="U305">
            <v>0</v>
          </cell>
          <cell r="AD305">
            <v>0</v>
          </cell>
        </row>
        <row r="306">
          <cell r="D306">
            <v>42622</v>
          </cell>
          <cell r="F306" t="str">
            <v>SELL</v>
          </cell>
          <cell r="H306">
            <v>598.80239520958082</v>
          </cell>
          <cell r="U306">
            <v>-356.3809580838315</v>
          </cell>
          <cell r="AD306">
            <v>1</v>
          </cell>
        </row>
        <row r="307">
          <cell r="D307">
            <v>42626</v>
          </cell>
          <cell r="F307" t="str">
            <v>SELL</v>
          </cell>
          <cell r="H307">
            <v>905.79710144927549</v>
          </cell>
          <cell r="U307">
            <v>3453.8124637681176</v>
          </cell>
          <cell r="AD307">
            <v>2</v>
          </cell>
        </row>
        <row r="308">
          <cell r="D308">
            <v>42628</v>
          </cell>
          <cell r="F308" t="str">
            <v>BUY</v>
          </cell>
          <cell r="H308">
            <v>1234.5679012345679</v>
          </cell>
          <cell r="U308">
            <v>0</v>
          </cell>
          <cell r="AD308">
            <v>0</v>
          </cell>
        </row>
        <row r="309">
          <cell r="D309">
            <v>42628</v>
          </cell>
          <cell r="F309" t="str">
            <v>BUY</v>
          </cell>
          <cell r="H309">
            <v>128.2051282051282</v>
          </cell>
          <cell r="U309">
            <v>0</v>
          </cell>
          <cell r="AD309">
            <v>0</v>
          </cell>
        </row>
        <row r="310">
          <cell r="D310">
            <v>42633</v>
          </cell>
          <cell r="F310" t="str">
            <v>SELL</v>
          </cell>
          <cell r="H310">
            <v>877.19298245614027</v>
          </cell>
          <cell r="U310">
            <v>176.57561403508771</v>
          </cell>
          <cell r="AD310">
            <v>2</v>
          </cell>
        </row>
        <row r="311">
          <cell r="D311">
            <v>42636</v>
          </cell>
          <cell r="F311" t="str">
            <v>BUY</v>
          </cell>
          <cell r="H311">
            <v>1440.9221902017291</v>
          </cell>
          <cell r="U311">
            <v>0</v>
          </cell>
          <cell r="AD311">
            <v>0</v>
          </cell>
        </row>
        <row r="312">
          <cell r="D312">
            <v>42636</v>
          </cell>
          <cell r="F312" t="str">
            <v>SELL</v>
          </cell>
          <cell r="H312">
            <v>128.2051282051282</v>
          </cell>
          <cell r="U312">
            <v>-118.99999999999636</v>
          </cell>
          <cell r="AD312">
            <v>1</v>
          </cell>
        </row>
        <row r="313">
          <cell r="D313">
            <v>42639</v>
          </cell>
          <cell r="F313" t="str">
            <v>SELL</v>
          </cell>
          <cell r="H313">
            <v>1440.9221902017291</v>
          </cell>
          <cell r="U313">
            <v>-604.53354466858764</v>
          </cell>
          <cell r="AD313">
            <v>1</v>
          </cell>
        </row>
        <row r="314">
          <cell r="D314">
            <v>42640</v>
          </cell>
          <cell r="F314" t="str">
            <v>BUY</v>
          </cell>
          <cell r="H314">
            <v>818.33060556464807</v>
          </cell>
          <cell r="U314">
            <v>0</v>
          </cell>
          <cell r="AD314">
            <v>0</v>
          </cell>
        </row>
        <row r="315">
          <cell r="D315">
            <v>42641</v>
          </cell>
          <cell r="F315" t="str">
            <v>BUY</v>
          </cell>
          <cell r="H315">
            <v>634.51776649746193</v>
          </cell>
          <cell r="U315">
            <v>0</v>
          </cell>
          <cell r="AD315">
            <v>0</v>
          </cell>
        </row>
        <row r="316">
          <cell r="D316">
            <v>42641</v>
          </cell>
          <cell r="F316" t="str">
            <v>BUY</v>
          </cell>
          <cell r="H316">
            <v>1432.6647564469913</v>
          </cell>
          <cell r="U316">
            <v>0</v>
          </cell>
          <cell r="AD316">
            <v>0</v>
          </cell>
        </row>
        <row r="317">
          <cell r="D317">
            <v>42642</v>
          </cell>
          <cell r="F317" t="str">
            <v>BUY</v>
          </cell>
          <cell r="H317">
            <v>2044.989775051125</v>
          </cell>
          <cell r="U317">
            <v>0</v>
          </cell>
          <cell r="AD317">
            <v>0</v>
          </cell>
        </row>
        <row r="318">
          <cell r="D318">
            <v>42642</v>
          </cell>
          <cell r="F318" t="str">
            <v>SELL</v>
          </cell>
          <cell r="H318">
            <v>3891.0505836575876</v>
          </cell>
          <cell r="U318">
            <v>1924.7968093385225</v>
          </cell>
          <cell r="AD318">
            <v>2</v>
          </cell>
        </row>
        <row r="319">
          <cell r="D319">
            <v>42646</v>
          </cell>
          <cell r="F319" t="str">
            <v>BUY</v>
          </cell>
          <cell r="H319">
            <v>312.98904538341156</v>
          </cell>
          <cell r="U319">
            <v>0</v>
          </cell>
          <cell r="AD319">
            <v>0</v>
          </cell>
        </row>
        <row r="320">
          <cell r="D320">
            <v>42646</v>
          </cell>
          <cell r="F320" t="str">
            <v>BUY</v>
          </cell>
          <cell r="H320">
            <v>4716.9811320754716</v>
          </cell>
          <cell r="U320">
            <v>0</v>
          </cell>
          <cell r="AD320">
            <v>0</v>
          </cell>
        </row>
        <row r="321">
          <cell r="D321">
            <v>42646</v>
          </cell>
          <cell r="F321" t="str">
            <v>SELL</v>
          </cell>
          <cell r="H321">
            <v>634.51776649746193</v>
          </cell>
          <cell r="U321">
            <v>-269.91426395939379</v>
          </cell>
          <cell r="AD321">
            <v>1</v>
          </cell>
        </row>
        <row r="322">
          <cell r="D322">
            <v>42647</v>
          </cell>
          <cell r="F322" t="str">
            <v>BUY</v>
          </cell>
          <cell r="H322">
            <v>39.777247414478914</v>
          </cell>
          <cell r="U322">
            <v>0</v>
          </cell>
          <cell r="AD322">
            <v>0</v>
          </cell>
        </row>
        <row r="323">
          <cell r="D323">
            <v>42648</v>
          </cell>
          <cell r="F323" t="str">
            <v>SELL</v>
          </cell>
          <cell r="H323">
            <v>1432.6647564469913</v>
          </cell>
          <cell r="U323">
            <v>264.34948424068534</v>
          </cell>
          <cell r="AD323">
            <v>2</v>
          </cell>
        </row>
        <row r="324">
          <cell r="D324">
            <v>42650</v>
          </cell>
          <cell r="F324" t="str">
            <v>SELL</v>
          </cell>
          <cell r="H324">
            <v>312.98904538341156</v>
          </cell>
          <cell r="U324">
            <v>-351.64178403755614</v>
          </cell>
          <cell r="AD324">
            <v>1</v>
          </cell>
        </row>
        <row r="325">
          <cell r="D325">
            <v>42650</v>
          </cell>
          <cell r="F325" t="str">
            <v>SELL</v>
          </cell>
          <cell r="H325">
            <v>4716.9811320754716</v>
          </cell>
          <cell r="U325">
            <v>-305.98924528302086</v>
          </cell>
          <cell r="AD325">
            <v>1</v>
          </cell>
        </row>
        <row r="326">
          <cell r="D326">
            <v>42655</v>
          </cell>
          <cell r="F326" t="str">
            <v>SELL</v>
          </cell>
          <cell r="H326">
            <v>775.19379844961236</v>
          </cell>
          <cell r="U326">
            <v>-426.29751937984474</v>
          </cell>
          <cell r="AD326">
            <v>1</v>
          </cell>
        </row>
        <row r="327">
          <cell r="D327">
            <v>42655</v>
          </cell>
          <cell r="F327" t="str">
            <v>SELL</v>
          </cell>
          <cell r="H327">
            <v>11494.252873563219</v>
          </cell>
          <cell r="U327">
            <v>1475.7954022988506</v>
          </cell>
          <cell r="AD327">
            <v>2</v>
          </cell>
        </row>
        <row r="328">
          <cell r="D328">
            <v>42657</v>
          </cell>
          <cell r="F328" t="str">
            <v>BUY</v>
          </cell>
          <cell r="H328">
            <v>81.499592502037487</v>
          </cell>
          <cell r="U328">
            <v>0</v>
          </cell>
          <cell r="AD328">
            <v>0</v>
          </cell>
        </row>
        <row r="329">
          <cell r="D329">
            <v>42660</v>
          </cell>
          <cell r="F329" t="str">
            <v>BUY</v>
          </cell>
          <cell r="H329">
            <v>771.60493827160485</v>
          </cell>
          <cell r="U329">
            <v>0</v>
          </cell>
          <cell r="AD329">
            <v>0</v>
          </cell>
        </row>
        <row r="330">
          <cell r="D330">
            <v>42661</v>
          </cell>
          <cell r="F330" t="str">
            <v>BUY</v>
          </cell>
          <cell r="H330">
            <v>16393.442622950821</v>
          </cell>
          <cell r="U330">
            <v>0</v>
          </cell>
          <cell r="AD330">
            <v>0</v>
          </cell>
        </row>
        <row r="331">
          <cell r="D331">
            <v>42661</v>
          </cell>
          <cell r="F331" t="str">
            <v>BUY</v>
          </cell>
          <cell r="H331">
            <v>215.98272138228944</v>
          </cell>
          <cell r="U331">
            <v>0</v>
          </cell>
          <cell r="AD331">
            <v>0</v>
          </cell>
        </row>
        <row r="332">
          <cell r="D332">
            <v>42661</v>
          </cell>
          <cell r="F332" t="str">
            <v>BUY</v>
          </cell>
          <cell r="H332">
            <v>126.58227848101266</v>
          </cell>
          <cell r="U332">
            <v>0</v>
          </cell>
          <cell r="AD332">
            <v>0</v>
          </cell>
        </row>
        <row r="333">
          <cell r="D333">
            <v>42664</v>
          </cell>
          <cell r="F333" t="str">
            <v>SELL</v>
          </cell>
          <cell r="H333">
            <v>126.58227848101266</v>
          </cell>
          <cell r="U333">
            <v>-231.91405063291859</v>
          </cell>
          <cell r="AD333">
            <v>1</v>
          </cell>
        </row>
        <row r="334">
          <cell r="D334">
            <v>42667</v>
          </cell>
          <cell r="F334" t="str">
            <v>SELL</v>
          </cell>
          <cell r="H334">
            <v>81.499592502037487</v>
          </cell>
          <cell r="U334">
            <v>26.389266503665567</v>
          </cell>
          <cell r="AD334">
            <v>2</v>
          </cell>
        </row>
        <row r="335">
          <cell r="D335">
            <v>42676</v>
          </cell>
          <cell r="F335" t="str">
            <v>SELL</v>
          </cell>
          <cell r="H335">
            <v>1615.508885298869</v>
          </cell>
          <cell r="U335">
            <v>-663.36302100161447</v>
          </cell>
          <cell r="AD335">
            <v>1</v>
          </cell>
        </row>
        <row r="336">
          <cell r="D336">
            <v>42677</v>
          </cell>
          <cell r="F336" t="str">
            <v>BUY</v>
          </cell>
          <cell r="H336">
            <v>3134.7962382445144</v>
          </cell>
          <cell r="U336">
            <v>0</v>
          </cell>
          <cell r="AD336">
            <v>0</v>
          </cell>
        </row>
        <row r="337">
          <cell r="D337">
            <v>42678</v>
          </cell>
          <cell r="F337" t="str">
            <v>SELL</v>
          </cell>
          <cell r="H337">
            <v>3134.7962382445144</v>
          </cell>
          <cell r="U337">
            <v>-398.60166144200593</v>
          </cell>
          <cell r="AD337">
            <v>1</v>
          </cell>
        </row>
        <row r="338">
          <cell r="D338">
            <v>42681</v>
          </cell>
          <cell r="F338" t="str">
            <v>BUY</v>
          </cell>
          <cell r="H338">
            <v>7692.3076923076924</v>
          </cell>
          <cell r="U338">
            <v>0</v>
          </cell>
          <cell r="AD338">
            <v>0</v>
          </cell>
        </row>
        <row r="339">
          <cell r="D339">
            <v>42682</v>
          </cell>
          <cell r="F339" t="str">
            <v>BUY</v>
          </cell>
          <cell r="H339">
            <v>1328.0212483399735</v>
          </cell>
          <cell r="U339">
            <v>0</v>
          </cell>
          <cell r="AD339">
            <v>0</v>
          </cell>
        </row>
        <row r="340">
          <cell r="D340">
            <v>42683</v>
          </cell>
          <cell r="F340" t="str">
            <v>BUY</v>
          </cell>
          <cell r="H340">
            <v>3105.5900621118012</v>
          </cell>
          <cell r="U340">
            <v>0</v>
          </cell>
          <cell r="AD340">
            <v>0</v>
          </cell>
        </row>
        <row r="341">
          <cell r="D341">
            <v>42683</v>
          </cell>
          <cell r="F341" t="str">
            <v>SELL</v>
          </cell>
          <cell r="H341">
            <v>7692.3076923076924</v>
          </cell>
          <cell r="U341">
            <v>-271.46615384615143</v>
          </cell>
          <cell r="AD341">
            <v>1</v>
          </cell>
        </row>
        <row r="342">
          <cell r="D342">
            <v>42684</v>
          </cell>
          <cell r="F342" t="str">
            <v>SELL</v>
          </cell>
          <cell r="H342">
            <v>3105.5900621118012</v>
          </cell>
          <cell r="U342">
            <v>-334.46130434782208</v>
          </cell>
          <cell r="AD342">
            <v>1</v>
          </cell>
        </row>
        <row r="343">
          <cell r="D343">
            <v>42691</v>
          </cell>
          <cell r="F343" t="str">
            <v>BUY</v>
          </cell>
          <cell r="H343">
            <v>2793.2960893854747</v>
          </cell>
          <cell r="U343">
            <v>0</v>
          </cell>
          <cell r="AD343">
            <v>0</v>
          </cell>
        </row>
        <row r="344">
          <cell r="D344">
            <v>42692</v>
          </cell>
          <cell r="F344" t="str">
            <v>BUY</v>
          </cell>
          <cell r="H344">
            <v>74.906367041198507</v>
          </cell>
          <cell r="U344">
            <v>0</v>
          </cell>
          <cell r="AD344">
            <v>0</v>
          </cell>
        </row>
        <row r="345">
          <cell r="D345">
            <v>42696</v>
          </cell>
          <cell r="F345" t="str">
            <v>SELL</v>
          </cell>
          <cell r="H345">
            <v>74.906367041198507</v>
          </cell>
          <cell r="U345">
            <v>-415.94546816479124</v>
          </cell>
          <cell r="AD345">
            <v>1</v>
          </cell>
        </row>
        <row r="346">
          <cell r="D346">
            <v>42697</v>
          </cell>
          <cell r="F346" t="str">
            <v>SELL</v>
          </cell>
          <cell r="H346">
            <v>771.60493827160485</v>
          </cell>
          <cell r="U346">
            <v>64.525185185186274</v>
          </cell>
          <cell r="AD346">
            <v>2</v>
          </cell>
        </row>
        <row r="347">
          <cell r="D347">
            <v>42698</v>
          </cell>
          <cell r="F347" t="str">
            <v>BUY</v>
          </cell>
          <cell r="H347">
            <v>123.00123001230013</v>
          </cell>
          <cell r="U347">
            <v>0</v>
          </cell>
          <cell r="AD347">
            <v>0</v>
          </cell>
        </row>
        <row r="348">
          <cell r="D348">
            <v>42703</v>
          </cell>
          <cell r="F348" t="str">
            <v>BUY</v>
          </cell>
          <cell r="H348">
            <v>740.74074074074076</v>
          </cell>
          <cell r="U348">
            <v>0</v>
          </cell>
          <cell r="AD348">
            <v>0</v>
          </cell>
        </row>
        <row r="349">
          <cell r="D349">
            <v>42703</v>
          </cell>
          <cell r="F349" t="str">
            <v>SELL</v>
          </cell>
          <cell r="H349">
            <v>1328.0212483399735</v>
          </cell>
          <cell r="U349">
            <v>841.77551128818232</v>
          </cell>
          <cell r="AD349">
            <v>2</v>
          </cell>
        </row>
        <row r="350">
          <cell r="D350">
            <v>42705</v>
          </cell>
          <cell r="F350" t="str">
            <v>BUY</v>
          </cell>
          <cell r="H350">
            <v>519.21079958463133</v>
          </cell>
          <cell r="U350">
            <v>0</v>
          </cell>
          <cell r="AD350">
            <v>0</v>
          </cell>
        </row>
        <row r="351">
          <cell r="D351">
            <v>42705</v>
          </cell>
          <cell r="F351" t="str">
            <v>SELL</v>
          </cell>
          <cell r="H351">
            <v>740.74074074074076</v>
          </cell>
          <cell r="U351">
            <v>-119</v>
          </cell>
          <cell r="AD351">
            <v>1</v>
          </cell>
        </row>
        <row r="352">
          <cell r="D352">
            <v>42706</v>
          </cell>
          <cell r="F352" t="str">
            <v>BUY</v>
          </cell>
          <cell r="H352">
            <v>1605.1364365971106</v>
          </cell>
          <cell r="U352">
            <v>0</v>
          </cell>
          <cell r="AD352">
            <v>0</v>
          </cell>
        </row>
        <row r="353">
          <cell r="D353">
            <v>42709</v>
          </cell>
          <cell r="F353" t="str">
            <v>SELL</v>
          </cell>
          <cell r="H353">
            <v>1282.051282051282</v>
          </cell>
          <cell r="U353">
            <v>-3247.8461538461543</v>
          </cell>
          <cell r="AD353">
            <v>1</v>
          </cell>
        </row>
        <row r="354">
          <cell r="D354">
            <v>42710</v>
          </cell>
          <cell r="F354" t="str">
            <v>SELL</v>
          </cell>
          <cell r="H354">
            <v>1605.1364365971106</v>
          </cell>
          <cell r="U354">
            <v>-293.98500802568378</v>
          </cell>
          <cell r="AD354">
            <v>1</v>
          </cell>
        </row>
        <row r="355">
          <cell r="D355">
            <v>42710</v>
          </cell>
          <cell r="F355" t="str">
            <v>SELL</v>
          </cell>
          <cell r="H355">
            <v>2631.5789473684213</v>
          </cell>
          <cell r="U355">
            <v>1028.5247368421078</v>
          </cell>
          <cell r="AD355">
            <v>2</v>
          </cell>
        </row>
        <row r="356">
          <cell r="D356">
            <v>42712</v>
          </cell>
          <cell r="F356" t="str">
            <v>BUY</v>
          </cell>
          <cell r="H356">
            <v>872.60034904013958</v>
          </cell>
          <cell r="U356">
            <v>0</v>
          </cell>
          <cell r="AD356">
            <v>0</v>
          </cell>
        </row>
        <row r="357">
          <cell r="D357">
            <v>42712</v>
          </cell>
          <cell r="F357" t="str">
            <v>BUY</v>
          </cell>
          <cell r="H357">
            <v>138.4083044982699</v>
          </cell>
          <cell r="U357">
            <v>0</v>
          </cell>
          <cell r="AD357">
            <v>0</v>
          </cell>
        </row>
        <row r="358">
          <cell r="D358">
            <v>42713</v>
          </cell>
          <cell r="F358" t="str">
            <v>SELL</v>
          </cell>
          <cell r="H358">
            <v>396.82539682539681</v>
          </cell>
          <cell r="U358">
            <v>1060.8161904761928</v>
          </cell>
          <cell r="AD358">
            <v>2</v>
          </cell>
        </row>
        <row r="359">
          <cell r="D359">
            <v>42716</v>
          </cell>
          <cell r="F359" t="str">
            <v>SELL</v>
          </cell>
          <cell r="H359">
            <v>818.33060556464807</v>
          </cell>
          <cell r="U359">
            <v>-621.82497545008118</v>
          </cell>
          <cell r="AD359">
            <v>1</v>
          </cell>
        </row>
        <row r="360">
          <cell r="D360">
            <v>42717</v>
          </cell>
          <cell r="F360" t="str">
            <v>BUY</v>
          </cell>
          <cell r="H360">
            <v>4464.2857142857138</v>
          </cell>
          <cell r="U360">
            <v>0</v>
          </cell>
          <cell r="AD360">
            <v>0</v>
          </cell>
        </row>
        <row r="361">
          <cell r="D361">
            <v>42718</v>
          </cell>
          <cell r="F361" t="str">
            <v>SELL</v>
          </cell>
          <cell r="H361">
            <v>4464.2857142857138</v>
          </cell>
          <cell r="U361">
            <v>-340.21428571428442</v>
          </cell>
          <cell r="AD361">
            <v>1</v>
          </cell>
        </row>
        <row r="362">
          <cell r="D362">
            <v>42720</v>
          </cell>
          <cell r="F362" t="str">
            <v>BUY</v>
          </cell>
          <cell r="H362">
            <v>347.22222222222223</v>
          </cell>
          <cell r="U362">
            <v>0</v>
          </cell>
          <cell r="AD362">
            <v>0</v>
          </cell>
        </row>
        <row r="363">
          <cell r="D363">
            <v>42723</v>
          </cell>
          <cell r="F363" t="str">
            <v>SELL</v>
          </cell>
          <cell r="H363">
            <v>347.22222222222223</v>
          </cell>
          <cell r="U363">
            <v>-669.57555555555882</v>
          </cell>
          <cell r="AD363">
            <v>1</v>
          </cell>
        </row>
        <row r="364">
          <cell r="D364">
            <v>42723</v>
          </cell>
          <cell r="F364" t="str">
            <v>SELL</v>
          </cell>
          <cell r="H364">
            <v>872.60034904013958</v>
          </cell>
          <cell r="U364">
            <v>-67.113979057594406</v>
          </cell>
          <cell r="AD364">
            <v>1</v>
          </cell>
        </row>
        <row r="365">
          <cell r="D365">
            <v>42723</v>
          </cell>
          <cell r="F365" t="str">
            <v>SELL</v>
          </cell>
          <cell r="H365">
            <v>123.00123001230013</v>
          </cell>
          <cell r="U365">
            <v>1551.0368511685137</v>
          </cell>
          <cell r="AD365">
            <v>2</v>
          </cell>
        </row>
        <row r="366">
          <cell r="D366">
            <v>42724</v>
          </cell>
          <cell r="F366" t="str">
            <v>SELL</v>
          </cell>
          <cell r="H366">
            <v>4347.826086956522</v>
          </cell>
          <cell r="U366">
            <v>441.15739130434849</v>
          </cell>
          <cell r="AD366">
            <v>2</v>
          </cell>
        </row>
        <row r="367">
          <cell r="D367">
            <v>42731</v>
          </cell>
          <cell r="F367" t="str">
            <v>BUY</v>
          </cell>
          <cell r="H367">
            <v>2136.7521367521367</v>
          </cell>
          <cell r="U367">
            <v>0</v>
          </cell>
          <cell r="AD367">
            <v>0</v>
          </cell>
        </row>
        <row r="368">
          <cell r="D368">
            <v>42732</v>
          </cell>
          <cell r="F368" t="str">
            <v>BUY</v>
          </cell>
          <cell r="H368">
            <v>8928.5714285714275</v>
          </cell>
          <cell r="U368">
            <v>0</v>
          </cell>
          <cell r="AD368">
            <v>0</v>
          </cell>
        </row>
        <row r="369">
          <cell r="D369">
            <v>42738</v>
          </cell>
          <cell r="F369" t="str">
            <v>SELL</v>
          </cell>
          <cell r="H369">
            <v>2136.7521367521367</v>
          </cell>
          <cell r="U369">
            <v>-669.57555555556792</v>
          </cell>
          <cell r="AD369">
            <v>1</v>
          </cell>
        </row>
        <row r="370">
          <cell r="D370">
            <v>42739</v>
          </cell>
          <cell r="F370" t="str">
            <v>BUY</v>
          </cell>
          <cell r="H370">
            <v>75.301204819277103</v>
          </cell>
          <cell r="U370">
            <v>0</v>
          </cell>
          <cell r="AD370">
            <v>0</v>
          </cell>
        </row>
        <row r="371">
          <cell r="D371">
            <v>42739</v>
          </cell>
          <cell r="F371" t="str">
            <v>BUY</v>
          </cell>
          <cell r="H371">
            <v>49.504950495049506</v>
          </cell>
          <cell r="U371">
            <v>0</v>
          </cell>
          <cell r="AD371">
            <v>0</v>
          </cell>
        </row>
        <row r="372">
          <cell r="D372">
            <v>42739</v>
          </cell>
          <cell r="F372" t="str">
            <v>BUY</v>
          </cell>
          <cell r="H372">
            <v>2212.3893805309735</v>
          </cell>
          <cell r="U372">
            <v>0</v>
          </cell>
          <cell r="AD372">
            <v>0</v>
          </cell>
        </row>
        <row r="373">
          <cell r="D373">
            <v>42739</v>
          </cell>
          <cell r="F373" t="str">
            <v>BUY</v>
          </cell>
          <cell r="H373">
            <v>757.57575757575762</v>
          </cell>
          <cell r="U373">
            <v>0</v>
          </cell>
          <cell r="AD373">
            <v>0</v>
          </cell>
        </row>
        <row r="374">
          <cell r="D374">
            <v>42739</v>
          </cell>
          <cell r="F374" t="str">
            <v>BUY</v>
          </cell>
          <cell r="H374">
            <v>1569.8587127158555</v>
          </cell>
          <cell r="U374">
            <v>0</v>
          </cell>
          <cell r="AD374">
            <v>0</v>
          </cell>
        </row>
        <row r="375">
          <cell r="D375">
            <v>42741</v>
          </cell>
          <cell r="F375" t="str">
            <v>BUY</v>
          </cell>
          <cell r="H375">
            <v>133.68983957219251</v>
          </cell>
          <cell r="U375">
            <v>0</v>
          </cell>
          <cell r="AD375">
            <v>0</v>
          </cell>
        </row>
        <row r="376">
          <cell r="D376">
            <v>42741</v>
          </cell>
          <cell r="F376" t="str">
            <v>SELL</v>
          </cell>
          <cell r="H376">
            <v>2604.166666666667</v>
          </cell>
          <cell r="U376">
            <v>-3063.8899999999976</v>
          </cell>
          <cell r="AD376">
            <v>1</v>
          </cell>
        </row>
        <row r="377">
          <cell r="D377">
            <v>42746</v>
          </cell>
          <cell r="F377" t="str">
            <v>BUY</v>
          </cell>
          <cell r="H377">
            <v>5524.8618784530381</v>
          </cell>
          <cell r="U377">
            <v>0</v>
          </cell>
          <cell r="AD377">
            <v>0</v>
          </cell>
        </row>
        <row r="378">
          <cell r="D378">
            <v>42746</v>
          </cell>
          <cell r="F378" t="str">
            <v>SELL</v>
          </cell>
          <cell r="H378">
            <v>75.301204819277103</v>
          </cell>
          <cell r="U378">
            <v>-29.448554216873163</v>
          </cell>
          <cell r="AD378">
            <v>1</v>
          </cell>
        </row>
        <row r="379">
          <cell r="D379">
            <v>42747</v>
          </cell>
          <cell r="F379" t="str">
            <v>BUY</v>
          </cell>
          <cell r="H379">
            <v>30303.0303030303</v>
          </cell>
          <cell r="U379">
            <v>0</v>
          </cell>
          <cell r="AD379">
            <v>0</v>
          </cell>
        </row>
        <row r="380">
          <cell r="D380">
            <v>42747</v>
          </cell>
          <cell r="F380" t="str">
            <v>SELL</v>
          </cell>
          <cell r="H380">
            <v>2044.989775051125</v>
          </cell>
          <cell r="U380">
            <v>-2186.4595705521497</v>
          </cell>
          <cell r="AD380">
            <v>1</v>
          </cell>
        </row>
        <row r="381">
          <cell r="D381">
            <v>42748</v>
          </cell>
          <cell r="F381" t="str">
            <v>SELL</v>
          </cell>
          <cell r="H381">
            <v>49.504950495049506</v>
          </cell>
          <cell r="U381">
            <v>479.56039603960562</v>
          </cell>
          <cell r="AD381">
            <v>2</v>
          </cell>
        </row>
        <row r="382">
          <cell r="D382">
            <v>42751</v>
          </cell>
          <cell r="F382" t="str">
            <v>SELL</v>
          </cell>
          <cell r="H382">
            <v>5524.8618784530381</v>
          </cell>
          <cell r="U382">
            <v>-447.52171270718645</v>
          </cell>
          <cell r="AD382">
            <v>1</v>
          </cell>
        </row>
        <row r="383">
          <cell r="D383">
            <v>42752</v>
          </cell>
          <cell r="F383" t="str">
            <v>SELL</v>
          </cell>
          <cell r="H383">
            <v>138.4083044982699</v>
          </cell>
          <cell r="U383">
            <v>-16.12377162629673</v>
          </cell>
          <cell r="AD383">
            <v>1</v>
          </cell>
        </row>
        <row r="384">
          <cell r="D384">
            <v>42752</v>
          </cell>
          <cell r="F384" t="str">
            <v>SELL</v>
          </cell>
          <cell r="H384">
            <v>5235.6020942408377</v>
          </cell>
          <cell r="U384">
            <v>347.98418848167421</v>
          </cell>
          <cell r="AD384">
            <v>2</v>
          </cell>
        </row>
        <row r="385">
          <cell r="D385">
            <v>42753</v>
          </cell>
          <cell r="F385" t="str">
            <v>BUY</v>
          </cell>
          <cell r="H385">
            <v>1600</v>
          </cell>
          <cell r="U385">
            <v>0</v>
          </cell>
          <cell r="AD385">
            <v>0</v>
          </cell>
        </row>
        <row r="386">
          <cell r="D386">
            <v>42754</v>
          </cell>
          <cell r="F386" t="str">
            <v>BUY</v>
          </cell>
          <cell r="H386">
            <v>35.2112676056338</v>
          </cell>
          <cell r="U386">
            <v>0</v>
          </cell>
          <cell r="AD386">
            <v>0</v>
          </cell>
        </row>
        <row r="387">
          <cell r="D387">
            <v>42758</v>
          </cell>
          <cell r="F387" t="str">
            <v>BUY</v>
          </cell>
          <cell r="H387">
            <v>3906.25</v>
          </cell>
          <cell r="U387">
            <v>0</v>
          </cell>
          <cell r="AD387">
            <v>0</v>
          </cell>
        </row>
        <row r="388">
          <cell r="D388">
            <v>42758</v>
          </cell>
          <cell r="F388" t="str">
            <v>SELL</v>
          </cell>
          <cell r="H388">
            <v>1600</v>
          </cell>
          <cell r="U388">
            <v>-356.85999999999876</v>
          </cell>
          <cell r="AD388">
            <v>1</v>
          </cell>
        </row>
        <row r="389">
          <cell r="D389">
            <v>42759</v>
          </cell>
          <cell r="F389" t="str">
            <v>BUY</v>
          </cell>
          <cell r="H389">
            <v>649.35064935064929</v>
          </cell>
          <cell r="U389">
            <v>0</v>
          </cell>
          <cell r="AD389">
            <v>0</v>
          </cell>
        </row>
        <row r="390">
          <cell r="D390">
            <v>42759</v>
          </cell>
          <cell r="F390" t="str">
            <v>SELL</v>
          </cell>
          <cell r="H390">
            <v>2793.2960893854747</v>
          </cell>
          <cell r="U390">
            <v>1320.5039664804444</v>
          </cell>
          <cell r="AD390">
            <v>2</v>
          </cell>
        </row>
        <row r="391">
          <cell r="D391">
            <v>42761</v>
          </cell>
          <cell r="F391" t="str">
            <v>BUY</v>
          </cell>
          <cell r="H391">
            <v>7.3313782991202343</v>
          </cell>
          <cell r="U391">
            <v>0</v>
          </cell>
          <cell r="AD391">
            <v>0</v>
          </cell>
        </row>
        <row r="392">
          <cell r="D392">
            <v>42761</v>
          </cell>
          <cell r="F392" t="str">
            <v>BUY</v>
          </cell>
          <cell r="H392">
            <v>58479.532163742682</v>
          </cell>
          <cell r="U392">
            <v>0</v>
          </cell>
          <cell r="AD392">
            <v>0</v>
          </cell>
        </row>
        <row r="393">
          <cell r="D393">
            <v>42761</v>
          </cell>
          <cell r="F393" t="str">
            <v>SELL</v>
          </cell>
          <cell r="H393">
            <v>35.2112676056338</v>
          </cell>
          <cell r="U393">
            <v>-84.09873239436638</v>
          </cell>
          <cell r="AD393">
            <v>1</v>
          </cell>
        </row>
        <row r="394">
          <cell r="D394">
            <v>42762</v>
          </cell>
          <cell r="F394" t="str">
            <v>BUY</v>
          </cell>
          <cell r="H394">
            <v>5291.0052910052909</v>
          </cell>
          <cell r="U394">
            <v>0</v>
          </cell>
          <cell r="AD394">
            <v>0</v>
          </cell>
        </row>
        <row r="395">
          <cell r="D395">
            <v>42765</v>
          </cell>
          <cell r="F395" t="str">
            <v>BUY</v>
          </cell>
          <cell r="H395">
            <v>3496.5034965034965</v>
          </cell>
          <cell r="U395">
            <v>0</v>
          </cell>
          <cell r="AD395">
            <v>0</v>
          </cell>
        </row>
        <row r="396">
          <cell r="D396">
            <v>42765</v>
          </cell>
          <cell r="F396" t="str">
            <v>SELL</v>
          </cell>
          <cell r="H396">
            <v>7.3313782991202343</v>
          </cell>
          <cell r="U396">
            <v>-220.70929618768423</v>
          </cell>
          <cell r="AD396">
            <v>1</v>
          </cell>
        </row>
        <row r="397">
          <cell r="D397">
            <v>42766</v>
          </cell>
          <cell r="F397" t="str">
            <v>SELL</v>
          </cell>
          <cell r="H397">
            <v>5291.0052910052909</v>
          </cell>
          <cell r="U397">
            <v>-643.37052910052807</v>
          </cell>
          <cell r="AD397">
            <v>1</v>
          </cell>
        </row>
        <row r="398">
          <cell r="D398">
            <v>42767</v>
          </cell>
          <cell r="F398" t="str">
            <v>SELL</v>
          </cell>
          <cell r="H398">
            <v>3496.5034965034965</v>
          </cell>
          <cell r="U398">
            <v>19.610139860142226</v>
          </cell>
          <cell r="AD398">
            <v>2</v>
          </cell>
        </row>
        <row r="399">
          <cell r="D399">
            <v>42767</v>
          </cell>
          <cell r="F399" t="str">
            <v>SELL</v>
          </cell>
          <cell r="H399">
            <v>1569.8587127158555</v>
          </cell>
          <cell r="U399">
            <v>1639.0703453689184</v>
          </cell>
          <cell r="AD399">
            <v>2</v>
          </cell>
        </row>
        <row r="400">
          <cell r="D400">
            <v>42768</v>
          </cell>
          <cell r="F400" t="str">
            <v>BUY</v>
          </cell>
          <cell r="H400">
            <v>186.9158878504673</v>
          </cell>
          <cell r="U400">
            <v>0</v>
          </cell>
          <cell r="AD400">
            <v>0</v>
          </cell>
        </row>
        <row r="401">
          <cell r="D401">
            <v>42768</v>
          </cell>
          <cell r="F401" t="str">
            <v>SELL</v>
          </cell>
          <cell r="H401">
            <v>58479.532163742682</v>
          </cell>
          <cell r="U401">
            <v>-61.050467836257667</v>
          </cell>
          <cell r="AD401">
            <v>1</v>
          </cell>
        </row>
        <row r="402">
          <cell r="D402">
            <v>42773</v>
          </cell>
          <cell r="F402" t="str">
            <v>BUY</v>
          </cell>
          <cell r="H402">
            <v>770.41602465331277</v>
          </cell>
          <cell r="U402">
            <v>0</v>
          </cell>
          <cell r="AD402">
            <v>0</v>
          </cell>
        </row>
        <row r="403">
          <cell r="D403">
            <v>42773</v>
          </cell>
          <cell r="F403" t="str">
            <v>BUY</v>
          </cell>
          <cell r="H403">
            <v>1600</v>
          </cell>
          <cell r="U403">
            <v>0</v>
          </cell>
          <cell r="AD403">
            <v>0</v>
          </cell>
        </row>
        <row r="404">
          <cell r="D404">
            <v>42774</v>
          </cell>
          <cell r="F404" t="str">
            <v>SELL</v>
          </cell>
          <cell r="H404">
            <v>770.41602465331277</v>
          </cell>
          <cell r="U404">
            <v>-332.79648690292379</v>
          </cell>
          <cell r="AD404">
            <v>1</v>
          </cell>
        </row>
        <row r="405">
          <cell r="D405">
            <v>42775</v>
          </cell>
          <cell r="F405" t="str">
            <v>BUY</v>
          </cell>
          <cell r="H405">
            <v>6.6006600660066006</v>
          </cell>
          <cell r="U405">
            <v>0</v>
          </cell>
          <cell r="AD405">
            <v>0</v>
          </cell>
        </row>
        <row r="406">
          <cell r="D406">
            <v>42775</v>
          </cell>
          <cell r="F406" t="str">
            <v>BUY</v>
          </cell>
          <cell r="H406">
            <v>5.617977528089888</v>
          </cell>
          <cell r="U406">
            <v>0</v>
          </cell>
          <cell r="AD406">
            <v>0</v>
          </cell>
        </row>
        <row r="407">
          <cell r="D407">
            <v>42775</v>
          </cell>
          <cell r="F407" t="str">
            <v>SELL</v>
          </cell>
          <cell r="H407">
            <v>225.47914317925591</v>
          </cell>
          <cell r="U407">
            <v>-152.53187147688368</v>
          </cell>
          <cell r="AD407">
            <v>1</v>
          </cell>
        </row>
        <row r="408">
          <cell r="D408">
            <v>42775</v>
          </cell>
          <cell r="F408" t="str">
            <v>SELL</v>
          </cell>
          <cell r="H408">
            <v>2212.3893805309735</v>
          </cell>
          <cell r="U408">
            <v>648.39628318585346</v>
          </cell>
          <cell r="AD408">
            <v>2</v>
          </cell>
        </row>
        <row r="409">
          <cell r="D409">
            <v>42776</v>
          </cell>
          <cell r="F409" t="str">
            <v>SELL</v>
          </cell>
          <cell r="H409">
            <v>30303.0303030303</v>
          </cell>
          <cell r="U409">
            <v>31.145151515145699</v>
          </cell>
          <cell r="AD409">
            <v>2</v>
          </cell>
        </row>
        <row r="410">
          <cell r="D410">
            <v>42781</v>
          </cell>
          <cell r="F410" t="str">
            <v>BUY</v>
          </cell>
          <cell r="H410">
            <v>28571.428571428572</v>
          </cell>
          <cell r="U410">
            <v>0</v>
          </cell>
          <cell r="AD410">
            <v>0</v>
          </cell>
        </row>
        <row r="411">
          <cell r="D411">
            <v>42781</v>
          </cell>
          <cell r="F411" t="str">
            <v>SELL</v>
          </cell>
          <cell r="H411">
            <v>102.09290454313425</v>
          </cell>
          <cell r="U411">
            <v>-660.30703930576965</v>
          </cell>
          <cell r="AD411">
            <v>1</v>
          </cell>
        </row>
        <row r="412">
          <cell r="D412">
            <v>42782</v>
          </cell>
          <cell r="F412" t="str">
            <v>BUY</v>
          </cell>
          <cell r="H412">
            <v>55555.555555555555</v>
          </cell>
          <cell r="U412">
            <v>0</v>
          </cell>
          <cell r="AD412">
            <v>0</v>
          </cell>
        </row>
        <row r="413">
          <cell r="D413">
            <v>42782</v>
          </cell>
          <cell r="F413" t="str">
            <v>BUY</v>
          </cell>
          <cell r="H413">
            <v>274.72527472527474</v>
          </cell>
          <cell r="U413">
            <v>0</v>
          </cell>
          <cell r="AD413">
            <v>0</v>
          </cell>
        </row>
        <row r="414">
          <cell r="D414">
            <v>42783</v>
          </cell>
          <cell r="F414" t="str">
            <v>BUY</v>
          </cell>
          <cell r="H414">
            <v>768.04915514592938</v>
          </cell>
          <cell r="U414">
            <v>0</v>
          </cell>
          <cell r="AD414">
            <v>0</v>
          </cell>
        </row>
        <row r="415">
          <cell r="D415">
            <v>42783</v>
          </cell>
          <cell r="F415" t="str">
            <v>SELL</v>
          </cell>
          <cell r="H415">
            <v>55555.555555555555</v>
          </cell>
          <cell r="U415">
            <v>-504.40888888889458</v>
          </cell>
          <cell r="AD415">
            <v>1</v>
          </cell>
        </row>
        <row r="416">
          <cell r="D416">
            <v>42786</v>
          </cell>
          <cell r="F416" t="str">
            <v>BUY</v>
          </cell>
          <cell r="H416">
            <v>757.57575757575762</v>
          </cell>
          <cell r="U416">
            <v>0</v>
          </cell>
          <cell r="AD416">
            <v>0</v>
          </cell>
        </row>
        <row r="417">
          <cell r="D417">
            <v>42786</v>
          </cell>
          <cell r="F417" t="str">
            <v>BUY</v>
          </cell>
          <cell r="H417">
            <v>3401.3605442176872</v>
          </cell>
          <cell r="U417">
            <v>0</v>
          </cell>
          <cell r="AD417">
            <v>0</v>
          </cell>
        </row>
        <row r="418">
          <cell r="D418">
            <v>42786</v>
          </cell>
          <cell r="F418" t="str">
            <v>SELL</v>
          </cell>
          <cell r="H418">
            <v>3906.25</v>
          </cell>
          <cell r="U418">
            <v>1584.3600000000024</v>
          </cell>
          <cell r="AD418">
            <v>2</v>
          </cell>
        </row>
        <row r="419">
          <cell r="D419">
            <v>42787</v>
          </cell>
          <cell r="F419" t="str">
            <v>SELL</v>
          </cell>
          <cell r="H419">
            <v>768.04915514592938</v>
          </cell>
          <cell r="U419">
            <v>-42.875084485414845</v>
          </cell>
          <cell r="AD419">
            <v>1</v>
          </cell>
        </row>
        <row r="420">
          <cell r="D420">
            <v>42788</v>
          </cell>
          <cell r="F420" t="str">
            <v>SELL</v>
          </cell>
          <cell r="H420">
            <v>3401.3605442176872</v>
          </cell>
          <cell r="U420">
            <v>-321.26163265305695</v>
          </cell>
          <cell r="AD420">
            <v>1</v>
          </cell>
        </row>
        <row r="421">
          <cell r="D421">
            <v>42789</v>
          </cell>
          <cell r="F421" t="str">
            <v>BUY</v>
          </cell>
          <cell r="H421">
            <v>3086.4197530864194</v>
          </cell>
          <cell r="U421">
            <v>0</v>
          </cell>
          <cell r="AD421">
            <v>0</v>
          </cell>
        </row>
        <row r="422">
          <cell r="D422">
            <v>42789</v>
          </cell>
          <cell r="F422" t="str">
            <v>BUY</v>
          </cell>
          <cell r="H422">
            <v>34.129692832764505</v>
          </cell>
          <cell r="U422">
            <v>0</v>
          </cell>
          <cell r="AD422">
            <v>0</v>
          </cell>
        </row>
        <row r="423">
          <cell r="D423">
            <v>42789</v>
          </cell>
          <cell r="F423" t="str">
            <v>SELL</v>
          </cell>
          <cell r="H423">
            <v>274.72527472527474</v>
          </cell>
          <cell r="U423">
            <v>30.728901098909773</v>
          </cell>
          <cell r="AD423">
            <v>2</v>
          </cell>
        </row>
        <row r="424">
          <cell r="D424">
            <v>42790</v>
          </cell>
          <cell r="F424" t="str">
            <v>SELL</v>
          </cell>
          <cell r="H424">
            <v>215.98272138228944</v>
          </cell>
          <cell r="U424">
            <v>-718.34161987040716</v>
          </cell>
          <cell r="AD424">
            <v>1</v>
          </cell>
        </row>
        <row r="425">
          <cell r="D425">
            <v>42790</v>
          </cell>
          <cell r="F425" t="str">
            <v>SELL</v>
          </cell>
          <cell r="H425">
            <v>649.35064935064929</v>
          </cell>
          <cell r="U425">
            <v>202.76532467532707</v>
          </cell>
          <cell r="AD425">
            <v>2</v>
          </cell>
        </row>
        <row r="426">
          <cell r="D426">
            <v>42793</v>
          </cell>
          <cell r="F426" t="str">
            <v>BUY</v>
          </cell>
          <cell r="H426">
            <v>1182.0330969267138</v>
          </cell>
          <cell r="U426">
            <v>0</v>
          </cell>
          <cell r="AD426">
            <v>0</v>
          </cell>
        </row>
        <row r="427">
          <cell r="D427">
            <v>42794</v>
          </cell>
          <cell r="F427" t="str">
            <v>SELL</v>
          </cell>
          <cell r="H427">
            <v>3086.4197530864194</v>
          </cell>
          <cell r="U427">
            <v>-700.1597530864201</v>
          </cell>
          <cell r="AD427">
            <v>1</v>
          </cell>
        </row>
        <row r="428">
          <cell r="D428">
            <v>42794</v>
          </cell>
          <cell r="F428" t="str">
            <v>SELL</v>
          </cell>
          <cell r="H428">
            <v>1600</v>
          </cell>
          <cell r="U428">
            <v>213.98999999999432</v>
          </cell>
          <cell r="AD428">
            <v>2</v>
          </cell>
        </row>
        <row r="429">
          <cell r="D429">
            <v>42795</v>
          </cell>
          <cell r="F429" t="str">
            <v>BUY</v>
          </cell>
          <cell r="H429">
            <v>1449.2753623188405</v>
          </cell>
          <cell r="U429">
            <v>0</v>
          </cell>
          <cell r="AD429">
            <v>0</v>
          </cell>
        </row>
        <row r="430">
          <cell r="D430">
            <v>42797</v>
          </cell>
          <cell r="F430" t="str">
            <v>BUY</v>
          </cell>
          <cell r="H430">
            <v>12.195121951219512</v>
          </cell>
          <cell r="U430">
            <v>0</v>
          </cell>
          <cell r="AD430">
            <v>0</v>
          </cell>
        </row>
        <row r="431">
          <cell r="D431">
            <v>42797</v>
          </cell>
          <cell r="F431" t="str">
            <v>SELL</v>
          </cell>
          <cell r="H431">
            <v>1449.2753623188405</v>
          </cell>
          <cell r="U431">
            <v>-147.73550724637244</v>
          </cell>
          <cell r="AD431">
            <v>1</v>
          </cell>
        </row>
        <row r="432">
          <cell r="D432">
            <v>42800</v>
          </cell>
          <cell r="F432" t="str">
            <v>BUY</v>
          </cell>
          <cell r="H432">
            <v>775.19379844961236</v>
          </cell>
          <cell r="U432">
            <v>0</v>
          </cell>
          <cell r="AD432">
            <v>0</v>
          </cell>
        </row>
        <row r="433">
          <cell r="D433">
            <v>42801</v>
          </cell>
          <cell r="F433" t="str">
            <v>SELL</v>
          </cell>
          <cell r="H433">
            <v>28571.428571428572</v>
          </cell>
          <cell r="U433">
            <v>730.47285714286772</v>
          </cell>
          <cell r="AD433">
            <v>2</v>
          </cell>
        </row>
        <row r="434">
          <cell r="D434">
            <v>42804</v>
          </cell>
          <cell r="F434" t="str">
            <v>BUY</v>
          </cell>
          <cell r="H434">
            <v>3225.8064516129029</v>
          </cell>
          <cell r="U434">
            <v>0</v>
          </cell>
          <cell r="AD434">
            <v>0</v>
          </cell>
        </row>
        <row r="435">
          <cell r="D435">
            <v>42804</v>
          </cell>
          <cell r="F435" t="str">
            <v>BUY</v>
          </cell>
          <cell r="H435">
            <v>1801.801801801802</v>
          </cell>
          <cell r="U435">
            <v>0</v>
          </cell>
          <cell r="AD435">
            <v>0</v>
          </cell>
        </row>
        <row r="436">
          <cell r="D436">
            <v>42804</v>
          </cell>
          <cell r="F436" t="str">
            <v>SELL</v>
          </cell>
          <cell r="H436">
            <v>6.6006600660066006</v>
          </cell>
          <cell r="U436">
            <v>11.833201320132503</v>
          </cell>
          <cell r="AD436">
            <v>2</v>
          </cell>
        </row>
        <row r="437">
          <cell r="D437">
            <v>42807</v>
          </cell>
          <cell r="F437" t="str">
            <v>BUY</v>
          </cell>
          <cell r="H437">
            <v>1461.9883040935672</v>
          </cell>
          <cell r="U437">
            <v>0</v>
          </cell>
          <cell r="AD437">
            <v>0</v>
          </cell>
        </row>
        <row r="438">
          <cell r="D438">
            <v>42808</v>
          </cell>
          <cell r="F438" t="str">
            <v>BUY</v>
          </cell>
          <cell r="H438">
            <v>126.26262626262626</v>
          </cell>
          <cell r="U438">
            <v>0</v>
          </cell>
          <cell r="AD438">
            <v>0</v>
          </cell>
        </row>
        <row r="439">
          <cell r="D439">
            <v>42808</v>
          </cell>
          <cell r="F439" t="str">
            <v>BUY</v>
          </cell>
          <cell r="H439">
            <v>57471.264367816097</v>
          </cell>
          <cell r="U439">
            <v>0</v>
          </cell>
          <cell r="AD439">
            <v>0</v>
          </cell>
        </row>
        <row r="440">
          <cell r="D440">
            <v>42808</v>
          </cell>
          <cell r="F440" t="str">
            <v>SELL</v>
          </cell>
          <cell r="H440">
            <v>1461.9883040935672</v>
          </cell>
          <cell r="U440">
            <v>-379.79789473683377</v>
          </cell>
          <cell r="AD440">
            <v>1</v>
          </cell>
        </row>
        <row r="441">
          <cell r="D441">
            <v>42809</v>
          </cell>
          <cell r="F441" t="str">
            <v>SELL</v>
          </cell>
          <cell r="H441">
            <v>519.21079958463133</v>
          </cell>
          <cell r="U441">
            <v>467.60031152648116</v>
          </cell>
          <cell r="AD441">
            <v>2</v>
          </cell>
        </row>
        <row r="442">
          <cell r="D442">
            <v>42809</v>
          </cell>
          <cell r="F442" t="str">
            <v>SELL</v>
          </cell>
          <cell r="H442">
            <v>1182.0330969267138</v>
          </cell>
          <cell r="U442">
            <v>595.58018912529587</v>
          </cell>
          <cell r="AD442">
            <v>2</v>
          </cell>
        </row>
        <row r="443">
          <cell r="D443">
            <v>42810</v>
          </cell>
          <cell r="F443" t="str">
            <v>SELL</v>
          </cell>
          <cell r="H443">
            <v>3225.8064516129029</v>
          </cell>
          <cell r="U443">
            <v>-502.62677419354804</v>
          </cell>
          <cell r="AD443">
            <v>1</v>
          </cell>
        </row>
        <row r="444">
          <cell r="D444">
            <v>42811</v>
          </cell>
          <cell r="F444" t="str">
            <v>BUY</v>
          </cell>
          <cell r="H444">
            <v>606.06060606060601</v>
          </cell>
          <cell r="U444">
            <v>0</v>
          </cell>
          <cell r="AD444">
            <v>0</v>
          </cell>
        </row>
        <row r="445">
          <cell r="D445">
            <v>42811</v>
          </cell>
          <cell r="F445" t="str">
            <v>SELL</v>
          </cell>
          <cell r="H445">
            <v>5.617977528089888</v>
          </cell>
          <cell r="U445">
            <v>604.7970786516853</v>
          </cell>
          <cell r="AD445">
            <v>2</v>
          </cell>
        </row>
        <row r="446">
          <cell r="D446">
            <v>42815</v>
          </cell>
          <cell r="F446" t="str">
            <v>SELL</v>
          </cell>
          <cell r="H446">
            <v>775.19379844961236</v>
          </cell>
          <cell r="U446">
            <v>418.77565891472659</v>
          </cell>
          <cell r="AD446">
            <v>2</v>
          </cell>
        </row>
        <row r="447">
          <cell r="D447">
            <v>42816</v>
          </cell>
          <cell r="F447" t="str">
            <v>SELL</v>
          </cell>
          <cell r="H447">
            <v>186.9158878504673</v>
          </cell>
          <cell r="U447">
            <v>158.87383177569791</v>
          </cell>
          <cell r="AD447">
            <v>2</v>
          </cell>
        </row>
        <row r="448">
          <cell r="D448">
            <v>42817</v>
          </cell>
          <cell r="F448" t="str">
            <v>BUY</v>
          </cell>
          <cell r="H448">
            <v>122.02562538133007</v>
          </cell>
          <cell r="U448">
            <v>0</v>
          </cell>
          <cell r="AD448">
            <v>0</v>
          </cell>
        </row>
        <row r="449">
          <cell r="D449">
            <v>42817</v>
          </cell>
          <cell r="F449" t="str">
            <v>BUY</v>
          </cell>
          <cell r="H449">
            <v>1445.0867052023123</v>
          </cell>
          <cell r="U449">
            <v>0</v>
          </cell>
          <cell r="AD449">
            <v>0</v>
          </cell>
        </row>
        <row r="450">
          <cell r="D450">
            <v>42818</v>
          </cell>
          <cell r="F450" t="str">
            <v>BUY</v>
          </cell>
          <cell r="H450">
            <v>3773.5849056603774</v>
          </cell>
          <cell r="U450">
            <v>0</v>
          </cell>
          <cell r="AD450">
            <v>0</v>
          </cell>
        </row>
        <row r="451">
          <cell r="D451">
            <v>42818</v>
          </cell>
          <cell r="F451" t="str">
            <v>BUY</v>
          </cell>
          <cell r="H451">
            <v>2415.4589371980678</v>
          </cell>
          <cell r="U451">
            <v>0</v>
          </cell>
          <cell r="AD451">
            <v>0</v>
          </cell>
        </row>
        <row r="452">
          <cell r="D452">
            <v>42822</v>
          </cell>
          <cell r="F452" t="str">
            <v>BUY</v>
          </cell>
          <cell r="H452">
            <v>98.039215686274517</v>
          </cell>
          <cell r="U452">
            <v>0</v>
          </cell>
          <cell r="AD452">
            <v>0</v>
          </cell>
        </row>
        <row r="453">
          <cell r="D453">
            <v>42822</v>
          </cell>
          <cell r="F453" t="str">
            <v>SELL</v>
          </cell>
          <cell r="H453">
            <v>126.26262626262626</v>
          </cell>
          <cell r="U453">
            <v>731.89585858585815</v>
          </cell>
          <cell r="AD453">
            <v>2</v>
          </cell>
        </row>
        <row r="454">
          <cell r="D454">
            <v>42823</v>
          </cell>
          <cell r="F454" t="str">
            <v>SELL</v>
          </cell>
          <cell r="H454">
            <v>98.039215686274517</v>
          </cell>
          <cell r="U454">
            <v>-245.31098039215794</v>
          </cell>
          <cell r="AD454">
            <v>1</v>
          </cell>
        </row>
        <row r="455">
          <cell r="D455">
            <v>42824</v>
          </cell>
          <cell r="F455" t="str">
            <v>BUY</v>
          </cell>
          <cell r="H455">
            <v>113.63636363636364</v>
          </cell>
          <cell r="U455">
            <v>0</v>
          </cell>
          <cell r="AD455">
            <v>0</v>
          </cell>
        </row>
        <row r="456">
          <cell r="D456">
            <v>42824</v>
          </cell>
          <cell r="F456" t="str">
            <v>SELL</v>
          </cell>
          <cell r="H456">
            <v>57471.264367816097</v>
          </cell>
          <cell r="U456">
            <v>2273.2031034482861</v>
          </cell>
          <cell r="AD456">
            <v>2</v>
          </cell>
        </row>
        <row r="457">
          <cell r="D457">
            <v>42825</v>
          </cell>
          <cell r="F457" t="str">
            <v>BUY</v>
          </cell>
          <cell r="H457">
            <v>1257.8616352201257</v>
          </cell>
          <cell r="U457">
            <v>0</v>
          </cell>
          <cell r="AD457">
            <v>0</v>
          </cell>
        </row>
        <row r="458">
          <cell r="D458">
            <v>42825</v>
          </cell>
          <cell r="F458" t="str">
            <v>SELL</v>
          </cell>
          <cell r="H458">
            <v>122.02562538133007</v>
          </cell>
          <cell r="U458">
            <v>-191.56537522879989</v>
          </cell>
          <cell r="AD458">
            <v>1</v>
          </cell>
        </row>
        <row r="459">
          <cell r="D459">
            <v>42828</v>
          </cell>
          <cell r="F459" t="str">
            <v>BUY</v>
          </cell>
          <cell r="H459">
            <v>66.934404283801868</v>
          </cell>
          <cell r="U459">
            <v>0</v>
          </cell>
          <cell r="AD459">
            <v>0</v>
          </cell>
        </row>
        <row r="460">
          <cell r="D460">
            <v>42828</v>
          </cell>
          <cell r="F460" t="str">
            <v>BUY</v>
          </cell>
          <cell r="H460">
            <v>2481.3895781637716</v>
          </cell>
          <cell r="U460">
            <v>0</v>
          </cell>
          <cell r="AD460">
            <v>0</v>
          </cell>
        </row>
        <row r="461">
          <cell r="D461">
            <v>42829</v>
          </cell>
          <cell r="F461" t="str">
            <v>BUY</v>
          </cell>
          <cell r="H461">
            <v>39215.686274509804</v>
          </cell>
          <cell r="U461">
            <v>0</v>
          </cell>
          <cell r="AD461">
            <v>0</v>
          </cell>
        </row>
        <row r="462">
          <cell r="D462">
            <v>42829</v>
          </cell>
          <cell r="F462" t="str">
            <v>SELL</v>
          </cell>
          <cell r="H462">
            <v>16393.442622950821</v>
          </cell>
          <cell r="U462">
            <v>-931.33213114754108</v>
          </cell>
          <cell r="AD462">
            <v>1</v>
          </cell>
        </row>
        <row r="463">
          <cell r="D463">
            <v>42830</v>
          </cell>
          <cell r="F463" t="str">
            <v>BUY</v>
          </cell>
          <cell r="H463">
            <v>2702.7027027027025</v>
          </cell>
          <cell r="U463">
            <v>0</v>
          </cell>
          <cell r="AD463">
            <v>0</v>
          </cell>
        </row>
        <row r="464">
          <cell r="D464">
            <v>42830</v>
          </cell>
          <cell r="F464" t="str">
            <v>SELL</v>
          </cell>
          <cell r="H464">
            <v>606.06060606060601</v>
          </cell>
          <cell r="U464">
            <v>181.31030303030275</v>
          </cell>
          <cell r="AD464">
            <v>2</v>
          </cell>
        </row>
        <row r="465">
          <cell r="D465">
            <v>42830</v>
          </cell>
          <cell r="F465" t="str">
            <v>SELL</v>
          </cell>
          <cell r="H465">
            <v>3773.5849056603774</v>
          </cell>
          <cell r="U465">
            <v>217.58264150942887</v>
          </cell>
          <cell r="AD465">
            <v>2</v>
          </cell>
        </row>
        <row r="466">
          <cell r="D466">
            <v>42831</v>
          </cell>
          <cell r="F466" t="str">
            <v>BUY</v>
          </cell>
          <cell r="H466">
            <v>22222.222222222223</v>
          </cell>
          <cell r="U466">
            <v>0</v>
          </cell>
          <cell r="AD466">
            <v>0</v>
          </cell>
        </row>
        <row r="467">
          <cell r="D467">
            <v>42831</v>
          </cell>
          <cell r="F467" t="str">
            <v>BUY</v>
          </cell>
          <cell r="H467">
            <v>568.82821387940851</v>
          </cell>
          <cell r="U467">
            <v>0</v>
          </cell>
          <cell r="AD467">
            <v>0</v>
          </cell>
        </row>
        <row r="468">
          <cell r="D468">
            <v>42831</v>
          </cell>
          <cell r="F468" t="str">
            <v>SELL</v>
          </cell>
          <cell r="H468">
            <v>66.934404283801868</v>
          </cell>
          <cell r="U468">
            <v>-72.555917001333</v>
          </cell>
          <cell r="AD468">
            <v>1</v>
          </cell>
        </row>
        <row r="469">
          <cell r="D469">
            <v>42832</v>
          </cell>
          <cell r="F469" t="str">
            <v>BUY</v>
          </cell>
          <cell r="H469">
            <v>94.339622641509436</v>
          </cell>
          <cell r="U469">
            <v>0</v>
          </cell>
          <cell r="AD469">
            <v>0</v>
          </cell>
        </row>
        <row r="470">
          <cell r="D470">
            <v>42832</v>
          </cell>
          <cell r="F470" t="str">
            <v>SELL</v>
          </cell>
          <cell r="H470">
            <v>113.63636363636364</v>
          </cell>
          <cell r="U470">
            <v>-6.3736363636380702</v>
          </cell>
          <cell r="AD470">
            <v>1</v>
          </cell>
        </row>
        <row r="471">
          <cell r="D471">
            <v>42835</v>
          </cell>
          <cell r="F471" t="str">
            <v>BUY</v>
          </cell>
          <cell r="H471">
            <v>8.1632653061224492</v>
          </cell>
          <cell r="U471">
            <v>0</v>
          </cell>
          <cell r="AD471">
            <v>0</v>
          </cell>
        </row>
        <row r="472">
          <cell r="D472">
            <v>42835</v>
          </cell>
          <cell r="F472" t="str">
            <v>SELL</v>
          </cell>
          <cell r="H472">
            <v>22222.222222222223</v>
          </cell>
          <cell r="U472">
            <v>-1110.0499999999902</v>
          </cell>
          <cell r="AD472">
            <v>1</v>
          </cell>
        </row>
        <row r="473">
          <cell r="D473">
            <v>42842</v>
          </cell>
          <cell r="F473" t="str">
            <v>SELL</v>
          </cell>
          <cell r="H473">
            <v>854.70085470085473</v>
          </cell>
          <cell r="U473">
            <v>-2355.9302564102563</v>
          </cell>
          <cell r="AD473">
            <v>1</v>
          </cell>
        </row>
        <row r="474">
          <cell r="D474">
            <v>42842</v>
          </cell>
          <cell r="F474" t="str">
            <v>SELL</v>
          </cell>
          <cell r="H474">
            <v>8.1632653061224492</v>
          </cell>
          <cell r="U474">
            <v>42.795306122447073</v>
          </cell>
          <cell r="AD474">
            <v>2</v>
          </cell>
        </row>
        <row r="475">
          <cell r="D475">
            <v>42842</v>
          </cell>
          <cell r="F475" t="str">
            <v>SELL</v>
          </cell>
          <cell r="H475">
            <v>1257.8616352201257</v>
          </cell>
          <cell r="U475">
            <v>367.17603773584597</v>
          </cell>
          <cell r="AD475">
            <v>2</v>
          </cell>
        </row>
        <row r="476">
          <cell r="D476">
            <v>42843</v>
          </cell>
          <cell r="F476" t="str">
            <v>BUY</v>
          </cell>
          <cell r="H476">
            <v>714.28571428571433</v>
          </cell>
          <cell r="U476">
            <v>0</v>
          </cell>
          <cell r="AD476">
            <v>0</v>
          </cell>
        </row>
        <row r="477">
          <cell r="D477">
            <v>42844</v>
          </cell>
          <cell r="F477" t="str">
            <v>SELL</v>
          </cell>
          <cell r="H477">
            <v>94.339622641509436</v>
          </cell>
          <cell r="U477">
            <v>21.249433962262628</v>
          </cell>
          <cell r="AD477">
            <v>2</v>
          </cell>
        </row>
        <row r="478">
          <cell r="D478">
            <v>42844</v>
          </cell>
          <cell r="F478" t="str">
            <v>SELL</v>
          </cell>
          <cell r="H478">
            <v>2415.4589371980678</v>
          </cell>
          <cell r="U478">
            <v>862.46816425120778</v>
          </cell>
          <cell r="AD478">
            <v>2</v>
          </cell>
        </row>
        <row r="479">
          <cell r="D479">
            <v>42845</v>
          </cell>
          <cell r="F479" t="str">
            <v>BUY</v>
          </cell>
          <cell r="H479">
            <v>23255.813953488374</v>
          </cell>
          <cell r="U479">
            <v>0</v>
          </cell>
          <cell r="AD479">
            <v>0</v>
          </cell>
        </row>
        <row r="480">
          <cell r="D480">
            <v>42846</v>
          </cell>
          <cell r="F480" t="str">
            <v>BUY</v>
          </cell>
          <cell r="H480">
            <v>120.40939193257074</v>
          </cell>
          <cell r="U480">
            <v>0</v>
          </cell>
          <cell r="AD480">
            <v>0</v>
          </cell>
        </row>
        <row r="481">
          <cell r="D481">
            <v>42846</v>
          </cell>
          <cell r="F481" t="str">
            <v>SELL</v>
          </cell>
          <cell r="H481">
            <v>23255.813953488374</v>
          </cell>
          <cell r="U481">
            <v>-464.72720930233845</v>
          </cell>
          <cell r="AD481">
            <v>1</v>
          </cell>
        </row>
        <row r="482">
          <cell r="D482">
            <v>42849</v>
          </cell>
          <cell r="F482" t="str">
            <v>BUY</v>
          </cell>
          <cell r="H482">
            <v>464.03712296983758</v>
          </cell>
          <cell r="U482">
            <v>0</v>
          </cell>
          <cell r="AD482">
            <v>0</v>
          </cell>
        </row>
        <row r="483">
          <cell r="D483">
            <v>42850</v>
          </cell>
          <cell r="F483" t="str">
            <v>BUY</v>
          </cell>
          <cell r="H483">
            <v>232.55813953488371</v>
          </cell>
          <cell r="U483">
            <v>0</v>
          </cell>
          <cell r="AD483">
            <v>0</v>
          </cell>
        </row>
        <row r="484">
          <cell r="D484">
            <v>42850</v>
          </cell>
          <cell r="F484" t="str">
            <v>SELL</v>
          </cell>
          <cell r="H484">
            <v>568.82821387940851</v>
          </cell>
          <cell r="U484">
            <v>331.98257110352642</v>
          </cell>
          <cell r="AD484">
            <v>2</v>
          </cell>
        </row>
        <row r="485">
          <cell r="D485">
            <v>42851</v>
          </cell>
          <cell r="F485" t="str">
            <v>BUY</v>
          </cell>
          <cell r="H485">
            <v>3067.4846625766872</v>
          </cell>
          <cell r="U485">
            <v>0</v>
          </cell>
          <cell r="AD485">
            <v>0</v>
          </cell>
        </row>
        <row r="486">
          <cell r="D486">
            <v>42852</v>
          </cell>
          <cell r="F486" t="str">
            <v>SELL</v>
          </cell>
          <cell r="H486">
            <v>39.777247414478914</v>
          </cell>
          <cell r="U486">
            <v>-1751.0480429594336</v>
          </cell>
          <cell r="AD486">
            <v>1</v>
          </cell>
        </row>
        <row r="487">
          <cell r="D487">
            <v>42852</v>
          </cell>
          <cell r="F487" t="str">
            <v>SELL</v>
          </cell>
          <cell r="H487">
            <v>757.57575757575762</v>
          </cell>
          <cell r="U487">
            <v>-374.26575757575665</v>
          </cell>
          <cell r="AD487">
            <v>1</v>
          </cell>
        </row>
        <row r="488">
          <cell r="D488">
            <v>42852</v>
          </cell>
          <cell r="F488" t="str">
            <v>SELL</v>
          </cell>
          <cell r="H488">
            <v>12.195121951219512</v>
          </cell>
          <cell r="U488">
            <v>442.99317073170278</v>
          </cell>
          <cell r="AD488">
            <v>2</v>
          </cell>
        </row>
        <row r="489">
          <cell r="D489">
            <v>42852</v>
          </cell>
          <cell r="F489" t="str">
            <v>SELL</v>
          </cell>
          <cell r="H489">
            <v>2702.7027027027025</v>
          </cell>
          <cell r="U489">
            <v>845.26297297297788</v>
          </cell>
          <cell r="AD489">
            <v>2</v>
          </cell>
        </row>
        <row r="490">
          <cell r="D490">
            <v>42857</v>
          </cell>
          <cell r="F490" t="str">
            <v>BUY</v>
          </cell>
          <cell r="H490">
            <v>2941.1764705882356</v>
          </cell>
          <cell r="U490">
            <v>0</v>
          </cell>
          <cell r="AD490">
            <v>0</v>
          </cell>
        </row>
        <row r="491">
          <cell r="D491">
            <v>42857</v>
          </cell>
          <cell r="F491" t="str">
            <v>BUY</v>
          </cell>
          <cell r="H491">
            <v>46.339202965708985</v>
          </cell>
          <cell r="U491">
            <v>0</v>
          </cell>
          <cell r="AD491">
            <v>0</v>
          </cell>
        </row>
        <row r="492">
          <cell r="D492">
            <v>42857</v>
          </cell>
          <cell r="F492" t="str">
            <v>BUY</v>
          </cell>
          <cell r="H492">
            <v>325.73289902280129</v>
          </cell>
          <cell r="U492">
            <v>0</v>
          </cell>
          <cell r="AD492">
            <v>0</v>
          </cell>
        </row>
        <row r="493">
          <cell r="D493">
            <v>42857</v>
          </cell>
          <cell r="F493" t="str">
            <v>SELL</v>
          </cell>
          <cell r="H493">
            <v>757.57575757575762</v>
          </cell>
          <cell r="U493">
            <v>721.9048484848463</v>
          </cell>
          <cell r="AD493">
            <v>2</v>
          </cell>
        </row>
        <row r="494">
          <cell r="D494">
            <v>42857</v>
          </cell>
          <cell r="F494" t="str">
            <v>SELL</v>
          </cell>
          <cell r="H494">
            <v>2481.3895781637716</v>
          </cell>
          <cell r="U494">
            <v>1774.5699751860993</v>
          </cell>
          <cell r="AD494">
            <v>2</v>
          </cell>
        </row>
        <row r="495">
          <cell r="D495">
            <v>42858</v>
          </cell>
          <cell r="F495" t="str">
            <v>BUY</v>
          </cell>
          <cell r="H495">
            <v>64.766839378238345</v>
          </cell>
          <cell r="U495">
            <v>0</v>
          </cell>
          <cell r="AD495">
            <v>0</v>
          </cell>
        </row>
        <row r="496">
          <cell r="D496">
            <v>42859</v>
          </cell>
          <cell r="F496" t="str">
            <v>BUY</v>
          </cell>
          <cell r="H496">
            <v>11.350737797956867</v>
          </cell>
          <cell r="U496">
            <v>0</v>
          </cell>
          <cell r="AD496">
            <v>0</v>
          </cell>
        </row>
        <row r="497">
          <cell r="D497">
            <v>42860</v>
          </cell>
          <cell r="F497" t="str">
            <v>SELL</v>
          </cell>
          <cell r="H497">
            <v>133.68983957219251</v>
          </cell>
          <cell r="U497">
            <v>-26.247112299464789</v>
          </cell>
          <cell r="AD497">
            <v>1</v>
          </cell>
        </row>
        <row r="498">
          <cell r="D498">
            <v>42863</v>
          </cell>
          <cell r="F498" t="str">
            <v>BUY</v>
          </cell>
          <cell r="H498">
            <v>130.03901170351105</v>
          </cell>
          <cell r="U498">
            <v>0</v>
          </cell>
          <cell r="AD498">
            <v>0</v>
          </cell>
        </row>
        <row r="499">
          <cell r="D499">
            <v>42863</v>
          </cell>
          <cell r="F499" t="str">
            <v>BUY</v>
          </cell>
          <cell r="H499">
            <v>7.782101167315175</v>
          </cell>
          <cell r="U499">
            <v>0</v>
          </cell>
          <cell r="AD499">
            <v>0</v>
          </cell>
        </row>
        <row r="500">
          <cell r="D500">
            <v>42863</v>
          </cell>
          <cell r="F500" t="str">
            <v>BUY</v>
          </cell>
          <cell r="H500">
            <v>1036.2694300518135</v>
          </cell>
          <cell r="U500">
            <v>0</v>
          </cell>
          <cell r="AD500">
            <v>0</v>
          </cell>
        </row>
        <row r="501">
          <cell r="D501">
            <v>42864</v>
          </cell>
          <cell r="F501" t="str">
            <v>BUY</v>
          </cell>
          <cell r="H501">
            <v>108.69565217391305</v>
          </cell>
          <cell r="U501">
            <v>0</v>
          </cell>
          <cell r="AD501">
            <v>0</v>
          </cell>
        </row>
        <row r="502">
          <cell r="D502">
            <v>42864</v>
          </cell>
          <cell r="F502" t="str">
            <v>SELL</v>
          </cell>
          <cell r="H502">
            <v>1801.801801801802</v>
          </cell>
          <cell r="U502">
            <v>505.99063063062385</v>
          </cell>
          <cell r="AD502">
            <v>2</v>
          </cell>
        </row>
        <row r="503">
          <cell r="D503">
            <v>42864</v>
          </cell>
          <cell r="F503" t="str">
            <v>SELL</v>
          </cell>
          <cell r="H503">
            <v>39215.686274509804</v>
          </cell>
          <cell r="U503">
            <v>6099.3498039215483</v>
          </cell>
          <cell r="AD503">
            <v>2</v>
          </cell>
        </row>
        <row r="504">
          <cell r="D504">
            <v>42865</v>
          </cell>
          <cell r="F504" t="str">
            <v>BUY</v>
          </cell>
          <cell r="H504">
            <v>9900.9900990099013</v>
          </cell>
          <cell r="U504">
            <v>0</v>
          </cell>
          <cell r="AD504">
            <v>0</v>
          </cell>
        </row>
        <row r="505">
          <cell r="D505">
            <v>42865</v>
          </cell>
          <cell r="F505" t="str">
            <v>SELL</v>
          </cell>
          <cell r="H505">
            <v>7.782101167315175</v>
          </cell>
          <cell r="U505">
            <v>-466.04455252917978</v>
          </cell>
          <cell r="AD505">
            <v>1</v>
          </cell>
        </row>
        <row r="506">
          <cell r="D506">
            <v>42865</v>
          </cell>
          <cell r="F506" t="str">
            <v>SELL</v>
          </cell>
          <cell r="H506">
            <v>46.339202965708985</v>
          </cell>
          <cell r="U506">
            <v>-339.43817423539986</v>
          </cell>
          <cell r="AD506">
            <v>1</v>
          </cell>
        </row>
        <row r="507">
          <cell r="D507">
            <v>42865</v>
          </cell>
          <cell r="F507" t="str">
            <v>SELL</v>
          </cell>
          <cell r="H507">
            <v>120.40939193257074</v>
          </cell>
          <cell r="U507">
            <v>-17.572016857313429</v>
          </cell>
          <cell r="AD507">
            <v>1</v>
          </cell>
        </row>
        <row r="508">
          <cell r="D508">
            <v>42865</v>
          </cell>
          <cell r="F508" t="str">
            <v>SELL</v>
          </cell>
          <cell r="H508">
            <v>464.03712296983758</v>
          </cell>
          <cell r="U508">
            <v>317.89526682134419</v>
          </cell>
          <cell r="AD508">
            <v>2</v>
          </cell>
        </row>
        <row r="509">
          <cell r="D509">
            <v>42866</v>
          </cell>
          <cell r="F509" t="str">
            <v>SELL</v>
          </cell>
          <cell r="H509">
            <v>9900.9900990099013</v>
          </cell>
          <cell r="U509">
            <v>-1198.3689108910912</v>
          </cell>
          <cell r="AD509">
            <v>1</v>
          </cell>
        </row>
        <row r="510">
          <cell r="D510">
            <v>42867</v>
          </cell>
          <cell r="F510" t="str">
            <v>BUY</v>
          </cell>
          <cell r="H510">
            <v>93.720712277413313</v>
          </cell>
          <cell r="U510">
            <v>0</v>
          </cell>
          <cell r="AD510">
            <v>0</v>
          </cell>
        </row>
        <row r="511">
          <cell r="D511">
            <v>42870</v>
          </cell>
          <cell r="F511" t="str">
            <v>BUY</v>
          </cell>
          <cell r="H511">
            <v>3030.3030303030305</v>
          </cell>
          <cell r="U511">
            <v>0</v>
          </cell>
          <cell r="AD511">
            <v>0</v>
          </cell>
        </row>
        <row r="512">
          <cell r="D512">
            <v>42871</v>
          </cell>
          <cell r="F512" t="str">
            <v>BUY</v>
          </cell>
          <cell r="H512">
            <v>8130.0813008130081</v>
          </cell>
          <cell r="U512">
            <v>0</v>
          </cell>
          <cell r="AD512">
            <v>0</v>
          </cell>
        </row>
        <row r="513">
          <cell r="D513">
            <v>42871</v>
          </cell>
          <cell r="F513" t="str">
            <v>SELL</v>
          </cell>
          <cell r="H513">
            <v>3067.4846625766872</v>
          </cell>
          <cell r="U513">
            <v>762.6105521472382</v>
          </cell>
          <cell r="AD513">
            <v>2</v>
          </cell>
        </row>
        <row r="514">
          <cell r="D514">
            <v>42872</v>
          </cell>
          <cell r="F514" t="str">
            <v>BUY</v>
          </cell>
          <cell r="H514">
            <v>5102.0408163265311</v>
          </cell>
          <cell r="U514">
            <v>0</v>
          </cell>
          <cell r="AD514">
            <v>0</v>
          </cell>
        </row>
        <row r="515">
          <cell r="D515">
            <v>42872</v>
          </cell>
          <cell r="F515" t="str">
            <v>SELL</v>
          </cell>
          <cell r="H515">
            <v>8130.0813008130081</v>
          </cell>
          <cell r="U515">
            <v>-360.73243902439572</v>
          </cell>
          <cell r="AD515">
            <v>1</v>
          </cell>
        </row>
        <row r="516">
          <cell r="D516">
            <v>42873</v>
          </cell>
          <cell r="F516" t="str">
            <v>SELL</v>
          </cell>
          <cell r="H516">
            <v>8928.5714285714275</v>
          </cell>
          <cell r="U516">
            <v>-119.00000000000182</v>
          </cell>
          <cell r="AD516">
            <v>1</v>
          </cell>
        </row>
        <row r="517">
          <cell r="D517">
            <v>42874</v>
          </cell>
          <cell r="F517" t="str">
            <v>BUY</v>
          </cell>
          <cell r="H517">
            <v>1663.893510815308</v>
          </cell>
          <cell r="U517">
            <v>0</v>
          </cell>
          <cell r="AD517">
            <v>0</v>
          </cell>
        </row>
        <row r="518">
          <cell r="D518">
            <v>42877</v>
          </cell>
          <cell r="F518" t="str">
            <v>BUY</v>
          </cell>
          <cell r="H518">
            <v>2298.8505747126437</v>
          </cell>
          <cell r="U518">
            <v>0</v>
          </cell>
          <cell r="AD518">
            <v>0</v>
          </cell>
        </row>
        <row r="519">
          <cell r="D519">
            <v>42877</v>
          </cell>
          <cell r="F519" t="str">
            <v>BUY</v>
          </cell>
          <cell r="H519">
            <v>5780.346820809249</v>
          </cell>
          <cell r="U519">
            <v>0</v>
          </cell>
          <cell r="AD519">
            <v>0</v>
          </cell>
        </row>
        <row r="520">
          <cell r="D520">
            <v>42877</v>
          </cell>
          <cell r="F520" t="str">
            <v>SELL</v>
          </cell>
          <cell r="H520">
            <v>3030.3030303030305</v>
          </cell>
          <cell r="U520">
            <v>151.28727272726792</v>
          </cell>
          <cell r="AD520">
            <v>2</v>
          </cell>
        </row>
        <row r="521">
          <cell r="D521">
            <v>42878</v>
          </cell>
          <cell r="F521" t="str">
            <v>BUY</v>
          </cell>
          <cell r="H521">
            <v>1831.5018315018315</v>
          </cell>
          <cell r="U521">
            <v>0</v>
          </cell>
          <cell r="AD521">
            <v>0</v>
          </cell>
        </row>
        <row r="522">
          <cell r="D522">
            <v>42879</v>
          </cell>
          <cell r="F522" t="str">
            <v>BUY</v>
          </cell>
          <cell r="H522">
            <v>5714.2857142857147</v>
          </cell>
          <cell r="U522">
            <v>0</v>
          </cell>
          <cell r="AD522">
            <v>0</v>
          </cell>
        </row>
        <row r="523">
          <cell r="D523">
            <v>42879</v>
          </cell>
          <cell r="F523" t="str">
            <v>BUY</v>
          </cell>
          <cell r="H523">
            <v>112.35955056179775</v>
          </cell>
          <cell r="U523">
            <v>0</v>
          </cell>
          <cell r="AD523">
            <v>0</v>
          </cell>
        </row>
        <row r="524">
          <cell r="D524">
            <v>42879</v>
          </cell>
          <cell r="F524" t="str">
            <v>SELL</v>
          </cell>
          <cell r="H524">
            <v>1445.0867052023123</v>
          </cell>
          <cell r="U524">
            <v>3575.9536994219707</v>
          </cell>
          <cell r="AD524">
            <v>2</v>
          </cell>
        </row>
        <row r="525">
          <cell r="D525">
            <v>42886</v>
          </cell>
          <cell r="F525" t="str">
            <v>BUY</v>
          </cell>
          <cell r="H525">
            <v>8695.652173913044</v>
          </cell>
          <cell r="U525">
            <v>0</v>
          </cell>
          <cell r="AD525">
            <v>0</v>
          </cell>
        </row>
        <row r="526">
          <cell r="D526">
            <v>42886</v>
          </cell>
          <cell r="F526" t="str">
            <v>SELL</v>
          </cell>
          <cell r="H526">
            <v>108.69565217391305</v>
          </cell>
          <cell r="U526">
            <v>742.78521739130701</v>
          </cell>
          <cell r="AD526">
            <v>2</v>
          </cell>
        </row>
        <row r="527">
          <cell r="D527">
            <v>42887</v>
          </cell>
          <cell r="F527" t="str">
            <v>BUY</v>
          </cell>
          <cell r="H527">
            <v>246.6091245376079</v>
          </cell>
          <cell r="U527">
            <v>0</v>
          </cell>
          <cell r="AD527">
            <v>0</v>
          </cell>
        </row>
        <row r="528">
          <cell r="D528">
            <v>42887</v>
          </cell>
          <cell r="F528" t="str">
            <v>SELL</v>
          </cell>
          <cell r="H528">
            <v>8695.652173913044</v>
          </cell>
          <cell r="U528">
            <v>-118.99999999999454</v>
          </cell>
          <cell r="AD528">
            <v>1</v>
          </cell>
        </row>
        <row r="529">
          <cell r="D529">
            <v>42888</v>
          </cell>
          <cell r="F529" t="str">
            <v>BUY</v>
          </cell>
          <cell r="H529">
            <v>732.06442166910688</v>
          </cell>
          <cell r="U529">
            <v>0</v>
          </cell>
          <cell r="AD529">
            <v>0</v>
          </cell>
        </row>
        <row r="530">
          <cell r="D530">
            <v>42888</v>
          </cell>
          <cell r="F530" t="str">
            <v>SELL</v>
          </cell>
          <cell r="H530">
            <v>5714.2857142857147</v>
          </cell>
          <cell r="U530">
            <v>50.888571428569776</v>
          </cell>
          <cell r="AD530">
            <v>2</v>
          </cell>
        </row>
        <row r="531">
          <cell r="D531">
            <v>42888</v>
          </cell>
          <cell r="F531" t="str">
            <v>SELL</v>
          </cell>
          <cell r="H531">
            <v>2298.8505747126437</v>
          </cell>
          <cell r="U531">
            <v>313.88160919539951</v>
          </cell>
          <cell r="AD531">
            <v>2</v>
          </cell>
        </row>
        <row r="532">
          <cell r="D532">
            <v>42888</v>
          </cell>
          <cell r="F532" t="str">
            <v>SELL</v>
          </cell>
          <cell r="H532">
            <v>1036.2694300518135</v>
          </cell>
          <cell r="U532">
            <v>938.80751295336813</v>
          </cell>
          <cell r="AD532">
            <v>2</v>
          </cell>
        </row>
        <row r="533">
          <cell r="D533">
            <v>42892</v>
          </cell>
          <cell r="F533" t="str">
            <v>BUY</v>
          </cell>
          <cell r="H533">
            <v>512.29508196721315</v>
          </cell>
          <cell r="U533">
            <v>0</v>
          </cell>
          <cell r="AD533">
            <v>0</v>
          </cell>
        </row>
        <row r="534">
          <cell r="D534">
            <v>42892</v>
          </cell>
          <cell r="F534" t="str">
            <v>BUY</v>
          </cell>
          <cell r="H534">
            <v>25000</v>
          </cell>
          <cell r="U534">
            <v>0</v>
          </cell>
          <cell r="AD534">
            <v>0</v>
          </cell>
        </row>
        <row r="535">
          <cell r="D535">
            <v>42892</v>
          </cell>
          <cell r="F535" t="str">
            <v>BUY</v>
          </cell>
          <cell r="H535">
            <v>2336.4485981308408</v>
          </cell>
          <cell r="U535">
            <v>0</v>
          </cell>
          <cell r="AD535">
            <v>0</v>
          </cell>
        </row>
        <row r="536">
          <cell r="D536">
            <v>42892</v>
          </cell>
          <cell r="F536" t="str">
            <v>SELL</v>
          </cell>
          <cell r="H536">
            <v>11.350737797956867</v>
          </cell>
          <cell r="U536">
            <v>-107.74926220203815</v>
          </cell>
          <cell r="AD536">
            <v>1</v>
          </cell>
        </row>
        <row r="537">
          <cell r="D537">
            <v>42892</v>
          </cell>
          <cell r="F537" t="str">
            <v>SELL</v>
          </cell>
          <cell r="H537">
            <v>5780.346820809249</v>
          </cell>
          <cell r="U537">
            <v>1485.0071098265817</v>
          </cell>
          <cell r="AD537">
            <v>2</v>
          </cell>
        </row>
        <row r="538">
          <cell r="D538">
            <v>42893</v>
          </cell>
          <cell r="F538" t="str">
            <v>BUY</v>
          </cell>
          <cell r="H538">
            <v>10752.68817204301</v>
          </cell>
          <cell r="U538">
            <v>0</v>
          </cell>
          <cell r="AD538">
            <v>0</v>
          </cell>
        </row>
        <row r="539">
          <cell r="D539">
            <v>42899</v>
          </cell>
          <cell r="F539" t="str">
            <v>SELL</v>
          </cell>
          <cell r="H539">
            <v>246.6091245376079</v>
          </cell>
          <cell r="U539">
            <v>-45.667262638722605</v>
          </cell>
          <cell r="AD539">
            <v>1</v>
          </cell>
        </row>
        <row r="540">
          <cell r="D540">
            <v>42899</v>
          </cell>
          <cell r="F540" t="str">
            <v>SELL</v>
          </cell>
          <cell r="H540">
            <v>325.73289902280129</v>
          </cell>
          <cell r="U540">
            <v>1010.8651465798011</v>
          </cell>
          <cell r="AD540">
            <v>2</v>
          </cell>
        </row>
        <row r="541">
          <cell r="D541">
            <v>42902</v>
          </cell>
          <cell r="F541" t="str">
            <v>SELL</v>
          </cell>
          <cell r="H541">
            <v>25000</v>
          </cell>
          <cell r="U541">
            <v>128.75000000001091</v>
          </cell>
          <cell r="AD541">
            <v>2</v>
          </cell>
        </row>
        <row r="542">
          <cell r="D542">
            <v>42905</v>
          </cell>
          <cell r="F542" t="str">
            <v>BUY</v>
          </cell>
          <cell r="H542">
            <v>4424.7787610619471</v>
          </cell>
          <cell r="U542">
            <v>0</v>
          </cell>
          <cell r="AD542">
            <v>0</v>
          </cell>
        </row>
        <row r="543">
          <cell r="D543">
            <v>42905</v>
          </cell>
          <cell r="F543" t="str">
            <v>BUY</v>
          </cell>
          <cell r="H543">
            <v>2262.4434389140274</v>
          </cell>
          <cell r="U543">
            <v>0</v>
          </cell>
          <cell r="AD543">
            <v>0</v>
          </cell>
        </row>
        <row r="544">
          <cell r="D544">
            <v>42906</v>
          </cell>
          <cell r="F544" t="str">
            <v>BUY</v>
          </cell>
          <cell r="H544">
            <v>5494.5054945054944</v>
          </cell>
          <cell r="U544">
            <v>0</v>
          </cell>
          <cell r="AD544">
            <v>0</v>
          </cell>
        </row>
        <row r="545">
          <cell r="D545">
            <v>42907</v>
          </cell>
          <cell r="F545" t="str">
            <v>BUY</v>
          </cell>
          <cell r="H545">
            <v>18867.924528301886</v>
          </cell>
          <cell r="U545">
            <v>0</v>
          </cell>
          <cell r="AD545">
            <v>0</v>
          </cell>
        </row>
        <row r="546">
          <cell r="D546">
            <v>42907</v>
          </cell>
          <cell r="F546" t="str">
            <v>SELL</v>
          </cell>
          <cell r="H546">
            <v>5494.5054945054944</v>
          </cell>
          <cell r="U546">
            <v>-282.35516483516403</v>
          </cell>
          <cell r="AD546">
            <v>1</v>
          </cell>
        </row>
        <row r="547">
          <cell r="D547">
            <v>42909</v>
          </cell>
          <cell r="F547" t="str">
            <v>BUY</v>
          </cell>
          <cell r="H547">
            <v>2941.1764705882356</v>
          </cell>
          <cell r="U547">
            <v>0</v>
          </cell>
          <cell r="AD547">
            <v>0</v>
          </cell>
        </row>
        <row r="548">
          <cell r="D548">
            <v>42909</v>
          </cell>
          <cell r="F548" t="str">
            <v>SELL</v>
          </cell>
          <cell r="H548">
            <v>4424.7787610619471</v>
          </cell>
          <cell r="U548">
            <v>-382.11672566370544</v>
          </cell>
          <cell r="AD548">
            <v>1</v>
          </cell>
        </row>
        <row r="549">
          <cell r="D549">
            <v>42915</v>
          </cell>
          <cell r="F549" t="str">
            <v>SELL</v>
          </cell>
          <cell r="H549">
            <v>10752.68817204301</v>
          </cell>
          <cell r="U549">
            <v>-225.55688172042755</v>
          </cell>
          <cell r="AD549">
            <v>1</v>
          </cell>
        </row>
        <row r="550">
          <cell r="D550">
            <v>42915</v>
          </cell>
          <cell r="F550" t="str">
            <v>SELL</v>
          </cell>
          <cell r="H550">
            <v>18867.924528301886</v>
          </cell>
          <cell r="U550">
            <v>67.989245283019045</v>
          </cell>
          <cell r="AD550">
            <v>2</v>
          </cell>
        </row>
        <row r="551">
          <cell r="D551">
            <v>42915</v>
          </cell>
          <cell r="F551" t="str">
            <v>SELL</v>
          </cell>
          <cell r="H551">
            <v>1831.5018315018315</v>
          </cell>
          <cell r="U551">
            <v>715.96084249084379</v>
          </cell>
          <cell r="AD551">
            <v>2</v>
          </cell>
        </row>
        <row r="552">
          <cell r="D552">
            <v>42915</v>
          </cell>
          <cell r="F552" t="str">
            <v>SELL</v>
          </cell>
          <cell r="H552">
            <v>5102.0408163265311</v>
          </cell>
          <cell r="U552">
            <v>892.27816326530956</v>
          </cell>
          <cell r="AD552">
            <v>2</v>
          </cell>
        </row>
        <row r="553">
          <cell r="D553">
            <v>42916</v>
          </cell>
          <cell r="F553" t="str">
            <v>BUY</v>
          </cell>
          <cell r="H553">
            <v>1515.1515151515152</v>
          </cell>
          <cell r="U553">
            <v>0</v>
          </cell>
          <cell r="AD553">
            <v>0</v>
          </cell>
        </row>
        <row r="554">
          <cell r="D554">
            <v>42916</v>
          </cell>
          <cell r="F554" t="str">
            <v>BUY</v>
          </cell>
          <cell r="H554">
            <v>12.453300124533001</v>
          </cell>
          <cell r="U554">
            <v>0</v>
          </cell>
          <cell r="AD554">
            <v>0</v>
          </cell>
        </row>
        <row r="555">
          <cell r="D555">
            <v>42919</v>
          </cell>
          <cell r="F555" t="str">
            <v>BUY</v>
          </cell>
          <cell r="H555">
            <v>1658.3747927031509</v>
          </cell>
          <cell r="U555">
            <v>0</v>
          </cell>
          <cell r="AD555">
            <v>0</v>
          </cell>
        </row>
        <row r="556">
          <cell r="D556">
            <v>42920</v>
          </cell>
          <cell r="F556" t="str">
            <v>BUY</v>
          </cell>
          <cell r="H556">
            <v>326.26427406199025</v>
          </cell>
          <cell r="U556">
            <v>0</v>
          </cell>
          <cell r="AD556">
            <v>0</v>
          </cell>
        </row>
        <row r="557">
          <cell r="D557">
            <v>42921</v>
          </cell>
          <cell r="F557" t="str">
            <v>SELL</v>
          </cell>
          <cell r="H557">
            <v>1663.893510815308</v>
          </cell>
          <cell r="U557">
            <v>4481.722895174722</v>
          </cell>
          <cell r="AD557">
            <v>2</v>
          </cell>
        </row>
        <row r="558">
          <cell r="D558">
            <v>42922</v>
          </cell>
          <cell r="F558" t="str">
            <v>BUY</v>
          </cell>
          <cell r="H558">
            <v>2145.9227467811156</v>
          </cell>
          <cell r="U558">
            <v>0</v>
          </cell>
          <cell r="AD558">
            <v>0</v>
          </cell>
        </row>
        <row r="559">
          <cell r="D559">
            <v>42926</v>
          </cell>
          <cell r="F559" t="str">
            <v>BUY</v>
          </cell>
          <cell r="H559">
            <v>1121.0762331838564</v>
          </cell>
          <cell r="U559">
            <v>0</v>
          </cell>
          <cell r="AD559">
            <v>0</v>
          </cell>
        </row>
        <row r="560">
          <cell r="D560">
            <v>42926</v>
          </cell>
          <cell r="F560" t="str">
            <v>SELL</v>
          </cell>
          <cell r="H560">
            <v>326.26427406199025</v>
          </cell>
          <cell r="U560">
            <v>-21.990717781398416</v>
          </cell>
          <cell r="AD560">
            <v>1</v>
          </cell>
        </row>
        <row r="561">
          <cell r="D561">
            <v>42928</v>
          </cell>
          <cell r="F561" t="str">
            <v>BUY</v>
          </cell>
          <cell r="H561">
            <v>123.68583797155226</v>
          </cell>
          <cell r="U561">
            <v>0</v>
          </cell>
          <cell r="AD561">
            <v>0</v>
          </cell>
        </row>
        <row r="562">
          <cell r="D562">
            <v>42928</v>
          </cell>
          <cell r="F562" t="str">
            <v>SELL</v>
          </cell>
          <cell r="H562">
            <v>714.28571428571433</v>
          </cell>
          <cell r="U562">
            <v>-444.63142857142702</v>
          </cell>
          <cell r="AD562">
            <v>1</v>
          </cell>
        </row>
        <row r="563">
          <cell r="D563">
            <v>42929</v>
          </cell>
          <cell r="F563" t="str">
            <v>SELL</v>
          </cell>
          <cell r="H563">
            <v>2145.9227467811156</v>
          </cell>
          <cell r="U563">
            <v>8.6053648068609618</v>
          </cell>
          <cell r="AD563">
            <v>2</v>
          </cell>
        </row>
        <row r="564">
          <cell r="D564">
            <v>42930</v>
          </cell>
          <cell r="F564" t="str">
            <v>BUY</v>
          </cell>
          <cell r="H564">
            <v>1360.5442176870749</v>
          </cell>
          <cell r="U564">
            <v>0</v>
          </cell>
          <cell r="AD564">
            <v>0</v>
          </cell>
        </row>
        <row r="565">
          <cell r="D565">
            <v>42930</v>
          </cell>
          <cell r="F565" t="str">
            <v>BUY</v>
          </cell>
          <cell r="H565">
            <v>9523.8095238095229</v>
          </cell>
          <cell r="U565">
            <v>0</v>
          </cell>
          <cell r="AD565">
            <v>0</v>
          </cell>
        </row>
        <row r="566">
          <cell r="D566">
            <v>42930</v>
          </cell>
          <cell r="F566" t="str">
            <v>SELL</v>
          </cell>
          <cell r="H566">
            <v>112.35955056179775</v>
          </cell>
          <cell r="U566">
            <v>215.06865168539116</v>
          </cell>
          <cell r="AD566">
            <v>2</v>
          </cell>
        </row>
        <row r="567">
          <cell r="D567">
            <v>42933</v>
          </cell>
          <cell r="F567" t="str">
            <v>BUY</v>
          </cell>
          <cell r="H567">
            <v>25316.455696202531</v>
          </cell>
          <cell r="U567">
            <v>0</v>
          </cell>
          <cell r="AD567">
            <v>0</v>
          </cell>
        </row>
        <row r="568">
          <cell r="D568">
            <v>42933</v>
          </cell>
          <cell r="F568" t="str">
            <v>SELL</v>
          </cell>
          <cell r="H568">
            <v>2941.1764705882356</v>
          </cell>
          <cell r="U568">
            <v>-1255.798823529416</v>
          </cell>
          <cell r="AD568">
            <v>1</v>
          </cell>
        </row>
        <row r="569">
          <cell r="D569">
            <v>42936</v>
          </cell>
          <cell r="F569" t="str">
            <v>SELL</v>
          </cell>
          <cell r="H569">
            <v>5000</v>
          </cell>
          <cell r="U569">
            <v>-763.20000000000255</v>
          </cell>
          <cell r="AD569">
            <v>1</v>
          </cell>
        </row>
        <row r="570">
          <cell r="D570">
            <v>42936</v>
          </cell>
          <cell r="F570" t="str">
            <v>SELL</v>
          </cell>
          <cell r="H570">
            <v>2336.4485981308408</v>
          </cell>
          <cell r="U570">
            <v>1409.2560747663556</v>
          </cell>
          <cell r="AD570">
            <v>2</v>
          </cell>
        </row>
        <row r="571">
          <cell r="D571">
            <v>42941</v>
          </cell>
          <cell r="F571" t="str">
            <v>SELL</v>
          </cell>
          <cell r="H571">
            <v>2262.4434389140274</v>
          </cell>
          <cell r="U571">
            <v>307.02425339367073</v>
          </cell>
          <cell r="AD571">
            <v>2</v>
          </cell>
        </row>
        <row r="572">
          <cell r="D572">
            <v>42942</v>
          </cell>
          <cell r="F572" t="str">
            <v>BUY</v>
          </cell>
          <cell r="H572">
            <v>2793.2960893854747</v>
          </cell>
          <cell r="U572">
            <v>0</v>
          </cell>
          <cell r="AD572">
            <v>0</v>
          </cell>
        </row>
        <row r="573">
          <cell r="D573">
            <v>42942</v>
          </cell>
          <cell r="F573" t="str">
            <v>BUY</v>
          </cell>
          <cell r="H573">
            <v>2008.032128514056</v>
          </cell>
          <cell r="U573">
            <v>0</v>
          </cell>
          <cell r="AD573">
            <v>0</v>
          </cell>
        </row>
        <row r="574">
          <cell r="D574">
            <v>42942</v>
          </cell>
          <cell r="F574" t="str">
            <v>SELL</v>
          </cell>
          <cell r="H574">
            <v>9523.8095238095229</v>
          </cell>
          <cell r="U574">
            <v>919.24904761904872</v>
          </cell>
          <cell r="AD574">
            <v>2</v>
          </cell>
        </row>
        <row r="575">
          <cell r="D575">
            <v>42947</v>
          </cell>
          <cell r="F575" t="str">
            <v>SELL</v>
          </cell>
          <cell r="H575">
            <v>2793.2960893854747</v>
          </cell>
          <cell r="U575">
            <v>-1170.9525139664802</v>
          </cell>
          <cell r="AD575">
            <v>1</v>
          </cell>
        </row>
        <row r="576">
          <cell r="D576">
            <v>42947</v>
          </cell>
          <cell r="F576" t="str">
            <v>SELL</v>
          </cell>
          <cell r="H576">
            <v>34.129692832764505</v>
          </cell>
          <cell r="U576">
            <v>-592.5456996587036</v>
          </cell>
          <cell r="AD576">
            <v>1</v>
          </cell>
        </row>
        <row r="577">
          <cell r="D577">
            <v>42947</v>
          </cell>
          <cell r="F577" t="str">
            <v>SELL</v>
          </cell>
          <cell r="H577">
            <v>2008.032128514056</v>
          </cell>
          <cell r="U577">
            <v>-477.20578313252372</v>
          </cell>
          <cell r="AD577">
            <v>1</v>
          </cell>
        </row>
        <row r="578">
          <cell r="D578">
            <v>42947</v>
          </cell>
          <cell r="F578" t="str">
            <v>SELL</v>
          </cell>
          <cell r="H578">
            <v>64.766839378238345</v>
          </cell>
          <cell r="U578">
            <v>850.22927461139625</v>
          </cell>
          <cell r="AD578">
            <v>2</v>
          </cell>
        </row>
        <row r="579">
          <cell r="D579">
            <v>42948</v>
          </cell>
          <cell r="F579" t="str">
            <v>BUY</v>
          </cell>
          <cell r="H579">
            <v>2865.3295128939826</v>
          </cell>
          <cell r="U579">
            <v>0</v>
          </cell>
          <cell r="AD579">
            <v>0</v>
          </cell>
        </row>
        <row r="580">
          <cell r="D580">
            <v>42949</v>
          </cell>
          <cell r="F580" t="str">
            <v>BUY</v>
          </cell>
          <cell r="H580">
            <v>4385.9649122807023</v>
          </cell>
          <cell r="U580">
            <v>0</v>
          </cell>
          <cell r="AD580">
            <v>0</v>
          </cell>
        </row>
        <row r="581">
          <cell r="D581">
            <v>42949</v>
          </cell>
          <cell r="F581" t="str">
            <v>BUY</v>
          </cell>
          <cell r="H581">
            <v>303.49013657056145</v>
          </cell>
          <cell r="U581">
            <v>0</v>
          </cell>
          <cell r="AD581">
            <v>0</v>
          </cell>
        </row>
        <row r="582">
          <cell r="D582">
            <v>42949</v>
          </cell>
          <cell r="F582" t="str">
            <v>BUY</v>
          </cell>
          <cell r="H582">
            <v>9259.2592592592591</v>
          </cell>
          <cell r="U582">
            <v>0</v>
          </cell>
          <cell r="AD582">
            <v>0</v>
          </cell>
        </row>
        <row r="583">
          <cell r="D583">
            <v>42949</v>
          </cell>
          <cell r="F583" t="str">
            <v>SELL</v>
          </cell>
          <cell r="H583">
            <v>12.453300124533001</v>
          </cell>
          <cell r="U583">
            <v>-193.04980074719788</v>
          </cell>
          <cell r="AD583">
            <v>1</v>
          </cell>
        </row>
        <row r="584">
          <cell r="D584">
            <v>42949</v>
          </cell>
          <cell r="F584" t="str">
            <v>SELL</v>
          </cell>
          <cell r="H584">
            <v>1121.0762331838564</v>
          </cell>
          <cell r="U584">
            <v>-30.113901345299382</v>
          </cell>
          <cell r="AD584">
            <v>1</v>
          </cell>
        </row>
        <row r="585">
          <cell r="D585">
            <v>42949</v>
          </cell>
          <cell r="F585" t="str">
            <v>SELL</v>
          </cell>
          <cell r="H585">
            <v>732.06442166910688</v>
          </cell>
          <cell r="U585">
            <v>1215.9485358711572</v>
          </cell>
          <cell r="AD585">
            <v>2</v>
          </cell>
        </row>
        <row r="586">
          <cell r="D586">
            <v>42950</v>
          </cell>
          <cell r="F586" t="str">
            <v>BUY</v>
          </cell>
          <cell r="H586">
            <v>204.70829068577277</v>
          </cell>
          <cell r="U586">
            <v>0</v>
          </cell>
          <cell r="AD586">
            <v>0</v>
          </cell>
        </row>
        <row r="587">
          <cell r="D587">
            <v>42950</v>
          </cell>
          <cell r="F587" t="str">
            <v>BUY</v>
          </cell>
          <cell r="H587">
            <v>1092.8961748633878</v>
          </cell>
          <cell r="U587">
            <v>0</v>
          </cell>
          <cell r="AD587">
            <v>0</v>
          </cell>
        </row>
        <row r="588">
          <cell r="D588">
            <v>42954</v>
          </cell>
          <cell r="F588" t="str">
            <v>BUY</v>
          </cell>
          <cell r="H588">
            <v>6493.5064935064929</v>
          </cell>
          <cell r="U588">
            <v>0</v>
          </cell>
          <cell r="AD588">
            <v>0</v>
          </cell>
        </row>
        <row r="589">
          <cell r="D589">
            <v>42955</v>
          </cell>
          <cell r="F589" t="str">
            <v>BUY</v>
          </cell>
          <cell r="H589">
            <v>7575.7575757575751</v>
          </cell>
          <cell r="U589">
            <v>0</v>
          </cell>
          <cell r="AD589">
            <v>0</v>
          </cell>
        </row>
        <row r="590">
          <cell r="D590">
            <v>42955</v>
          </cell>
          <cell r="F590" t="str">
            <v>BUY</v>
          </cell>
          <cell r="H590">
            <v>232.55813953488371</v>
          </cell>
          <cell r="U590">
            <v>0</v>
          </cell>
          <cell r="AD590">
            <v>0</v>
          </cell>
        </row>
        <row r="591">
          <cell r="D591">
            <v>42956</v>
          </cell>
          <cell r="F591" t="str">
            <v>BUY</v>
          </cell>
          <cell r="H591">
            <v>1007.0493454179255</v>
          </cell>
          <cell r="U591">
            <v>0</v>
          </cell>
          <cell r="AD591">
            <v>0</v>
          </cell>
        </row>
        <row r="592">
          <cell r="D592">
            <v>42956</v>
          </cell>
          <cell r="F592" t="str">
            <v>SELL</v>
          </cell>
          <cell r="H592">
            <v>7575.7575757575751</v>
          </cell>
          <cell r="U592">
            <v>-869.785757575768</v>
          </cell>
          <cell r="AD592">
            <v>1</v>
          </cell>
        </row>
        <row r="593">
          <cell r="D593">
            <v>42956</v>
          </cell>
          <cell r="F593" t="str">
            <v>SELL</v>
          </cell>
          <cell r="H593">
            <v>4385.9649122807023</v>
          </cell>
          <cell r="U593">
            <v>-597.13614035087994</v>
          </cell>
          <cell r="AD593">
            <v>1</v>
          </cell>
        </row>
        <row r="594">
          <cell r="D594">
            <v>42956</v>
          </cell>
          <cell r="F594" t="str">
            <v>SELL</v>
          </cell>
          <cell r="H594">
            <v>2865.3295128939826</v>
          </cell>
          <cell r="U594">
            <v>-346.17636103151744</v>
          </cell>
          <cell r="AD594">
            <v>1</v>
          </cell>
        </row>
        <row r="595">
          <cell r="D595">
            <v>42957</v>
          </cell>
          <cell r="F595" t="str">
            <v>SELL</v>
          </cell>
          <cell r="H595">
            <v>1007.0493454179255</v>
          </cell>
          <cell r="U595">
            <v>-368.50233635447694</v>
          </cell>
          <cell r="AD595">
            <v>1</v>
          </cell>
        </row>
        <row r="596">
          <cell r="D596">
            <v>42961</v>
          </cell>
          <cell r="F596" t="str">
            <v>BUY</v>
          </cell>
          <cell r="H596">
            <v>1006.036217303823</v>
          </cell>
          <cell r="U596">
            <v>0</v>
          </cell>
          <cell r="AD596">
            <v>0</v>
          </cell>
        </row>
        <row r="597">
          <cell r="D597">
            <v>42961</v>
          </cell>
          <cell r="F597" t="str">
            <v>BUY</v>
          </cell>
          <cell r="H597">
            <v>45.045045045045043</v>
          </cell>
          <cell r="U597">
            <v>0</v>
          </cell>
          <cell r="AD597">
            <v>0</v>
          </cell>
        </row>
        <row r="598">
          <cell r="D598">
            <v>42962</v>
          </cell>
          <cell r="F598" t="str">
            <v>BUY</v>
          </cell>
          <cell r="H598">
            <v>11.160714285714286</v>
          </cell>
          <cell r="U598">
            <v>0</v>
          </cell>
          <cell r="AD598">
            <v>0</v>
          </cell>
        </row>
        <row r="599">
          <cell r="D599">
            <v>42965</v>
          </cell>
          <cell r="F599" t="str">
            <v>SELL</v>
          </cell>
          <cell r="H599">
            <v>1006.036217303823</v>
          </cell>
          <cell r="U599">
            <v>-228.67398390342532</v>
          </cell>
          <cell r="AD599">
            <v>1</v>
          </cell>
        </row>
        <row r="600">
          <cell r="D600">
            <v>42969</v>
          </cell>
          <cell r="F600" t="str">
            <v>BUY</v>
          </cell>
          <cell r="H600">
            <v>1540.8320493066255</v>
          </cell>
          <cell r="U600">
            <v>0</v>
          </cell>
          <cell r="AD600">
            <v>0</v>
          </cell>
        </row>
        <row r="601">
          <cell r="D601">
            <v>42989</v>
          </cell>
          <cell r="F601" t="str">
            <v>BUY</v>
          </cell>
          <cell r="H601">
            <v>30769.23076923077</v>
          </cell>
          <cell r="U601">
            <v>0</v>
          </cell>
          <cell r="AD601">
            <v>0</v>
          </cell>
        </row>
        <row r="602">
          <cell r="D602">
            <v>42989</v>
          </cell>
          <cell r="F602" t="str">
            <v>SELL</v>
          </cell>
          <cell r="H602">
            <v>1540.8320493066255</v>
          </cell>
          <cell r="U602">
            <v>1576.0135747303484</v>
          </cell>
          <cell r="AD602">
            <v>2</v>
          </cell>
        </row>
        <row r="603">
          <cell r="D603">
            <v>42992</v>
          </cell>
          <cell r="F603" t="str">
            <v>BUY</v>
          </cell>
          <cell r="H603">
            <v>289.85507246376812</v>
          </cell>
          <cell r="U603">
            <v>0</v>
          </cell>
          <cell r="AD603">
            <v>0</v>
          </cell>
        </row>
        <row r="604">
          <cell r="D604">
            <v>42992</v>
          </cell>
          <cell r="F604" t="str">
            <v>SELL</v>
          </cell>
          <cell r="H604">
            <v>232.55813953488371</v>
          </cell>
          <cell r="U604">
            <v>-787.37860465116319</v>
          </cell>
          <cell r="AD604">
            <v>1</v>
          </cell>
        </row>
        <row r="605">
          <cell r="D605">
            <v>42997</v>
          </cell>
          <cell r="F605" t="str">
            <v>SELL</v>
          </cell>
          <cell r="H605">
            <v>289.85507246376812</v>
          </cell>
          <cell r="U605">
            <v>-119</v>
          </cell>
          <cell r="AD605">
            <v>1</v>
          </cell>
        </row>
        <row r="606">
          <cell r="D606">
            <v>42998</v>
          </cell>
          <cell r="F606" t="str">
            <v>BUY</v>
          </cell>
          <cell r="H606">
            <v>4.8309178743961354</v>
          </cell>
          <cell r="U606">
            <v>0</v>
          </cell>
          <cell r="AD606">
            <v>0</v>
          </cell>
        </row>
        <row r="607">
          <cell r="D607">
            <v>42999</v>
          </cell>
          <cell r="F607" t="str">
            <v>BUY</v>
          </cell>
          <cell r="H607">
            <v>2132.1961620469083</v>
          </cell>
          <cell r="U607">
            <v>0</v>
          </cell>
          <cell r="AD607">
            <v>0</v>
          </cell>
        </row>
        <row r="608">
          <cell r="D608">
            <v>42999</v>
          </cell>
          <cell r="F608" t="str">
            <v>SELL</v>
          </cell>
          <cell r="H608">
            <v>25316.455696202531</v>
          </cell>
          <cell r="U608">
            <v>-746.25139240504359</v>
          </cell>
          <cell r="AD608">
            <v>1</v>
          </cell>
        </row>
        <row r="609">
          <cell r="D609">
            <v>43000</v>
          </cell>
          <cell r="F609" t="str">
            <v>BUY</v>
          </cell>
          <cell r="H609">
            <v>6493.5064935064929</v>
          </cell>
          <cell r="U609">
            <v>0</v>
          </cell>
          <cell r="AD609">
            <v>0</v>
          </cell>
        </row>
        <row r="610">
          <cell r="D610">
            <v>43000</v>
          </cell>
          <cell r="F610" t="str">
            <v>SELL</v>
          </cell>
          <cell r="H610">
            <v>1092.8961748633878</v>
          </cell>
          <cell r="U610">
            <v>43.464426229515084</v>
          </cell>
          <cell r="AD610">
            <v>2</v>
          </cell>
        </row>
        <row r="611">
          <cell r="D611">
            <v>43003</v>
          </cell>
          <cell r="F611" t="str">
            <v>BUY</v>
          </cell>
          <cell r="H611">
            <v>4545.454545454545</v>
          </cell>
          <cell r="U611">
            <v>0</v>
          </cell>
          <cell r="AD611">
            <v>0</v>
          </cell>
        </row>
        <row r="612">
          <cell r="D612">
            <v>43003</v>
          </cell>
          <cell r="F612" t="str">
            <v>SELL</v>
          </cell>
          <cell r="H612">
            <v>232.55813953488371</v>
          </cell>
          <cell r="U612">
            <v>226.72720930232026</v>
          </cell>
          <cell r="AD612">
            <v>2</v>
          </cell>
        </row>
        <row r="613">
          <cell r="D613">
            <v>43003</v>
          </cell>
          <cell r="F613" t="str">
            <v>SELL</v>
          </cell>
          <cell r="H613">
            <v>1658.3747927031509</v>
          </cell>
          <cell r="U613">
            <v>324.76119402985023</v>
          </cell>
          <cell r="AD613">
            <v>2</v>
          </cell>
        </row>
        <row r="614">
          <cell r="D614">
            <v>43004</v>
          </cell>
          <cell r="F614" t="str">
            <v>SELL</v>
          </cell>
          <cell r="H614">
            <v>6493.5064935064929</v>
          </cell>
          <cell r="U614">
            <v>-826.88571428571595</v>
          </cell>
          <cell r="AD614">
            <v>1</v>
          </cell>
        </row>
        <row r="615">
          <cell r="D615">
            <v>43005</v>
          </cell>
          <cell r="F615" t="str">
            <v>BUY</v>
          </cell>
          <cell r="H615">
            <v>6451.6129032258059</v>
          </cell>
          <cell r="U615">
            <v>0</v>
          </cell>
          <cell r="AD615">
            <v>0</v>
          </cell>
        </row>
        <row r="616">
          <cell r="D616">
            <v>43006</v>
          </cell>
          <cell r="F616" t="str">
            <v>SELL</v>
          </cell>
          <cell r="H616">
            <v>4545.454545454545</v>
          </cell>
          <cell r="U616">
            <v>-1650.6345454545499</v>
          </cell>
          <cell r="AD616">
            <v>1</v>
          </cell>
        </row>
        <row r="617">
          <cell r="D617">
            <v>43006</v>
          </cell>
          <cell r="F617" t="str">
            <v>SELL</v>
          </cell>
          <cell r="H617">
            <v>123.68583797155226</v>
          </cell>
          <cell r="U617">
            <v>-529.63755720470181</v>
          </cell>
          <cell r="AD617">
            <v>1</v>
          </cell>
        </row>
        <row r="618">
          <cell r="D618">
            <v>43007</v>
          </cell>
          <cell r="F618" t="str">
            <v>BUY</v>
          </cell>
          <cell r="H618">
            <v>3584.2293906810037</v>
          </cell>
          <cell r="U618">
            <v>0</v>
          </cell>
          <cell r="AD618">
            <v>0</v>
          </cell>
        </row>
        <row r="619">
          <cell r="D619">
            <v>43010</v>
          </cell>
          <cell r="F619" t="str">
            <v>BUY</v>
          </cell>
          <cell r="H619">
            <v>609.75609756097572</v>
          </cell>
          <cell r="U619">
            <v>0</v>
          </cell>
          <cell r="AD619">
            <v>0</v>
          </cell>
        </row>
        <row r="620">
          <cell r="D620">
            <v>43010</v>
          </cell>
          <cell r="F620" t="str">
            <v>BUY</v>
          </cell>
          <cell r="H620">
            <v>8.291873963515755</v>
          </cell>
          <cell r="U620">
            <v>0</v>
          </cell>
          <cell r="AD620">
            <v>0</v>
          </cell>
        </row>
        <row r="621">
          <cell r="D621">
            <v>43011</v>
          </cell>
          <cell r="F621" t="str">
            <v>BUY</v>
          </cell>
          <cell r="H621">
            <v>1272.2646310432569</v>
          </cell>
          <cell r="U621">
            <v>0</v>
          </cell>
          <cell r="AD621">
            <v>0</v>
          </cell>
        </row>
        <row r="622">
          <cell r="D622">
            <v>43011</v>
          </cell>
          <cell r="F622" t="str">
            <v>SELL</v>
          </cell>
          <cell r="H622">
            <v>303.49013657056145</v>
          </cell>
          <cell r="U622">
            <v>-269.37506828528421</v>
          </cell>
          <cell r="AD622">
            <v>1</v>
          </cell>
        </row>
        <row r="623">
          <cell r="D623">
            <v>43011</v>
          </cell>
          <cell r="F623" t="str">
            <v>SELL</v>
          </cell>
          <cell r="H623">
            <v>30769.23076923077</v>
          </cell>
          <cell r="U623">
            <v>490.88461538461343</v>
          </cell>
          <cell r="AD623">
            <v>2</v>
          </cell>
        </row>
        <row r="624">
          <cell r="D624">
            <v>43012</v>
          </cell>
          <cell r="F624" t="str">
            <v>SELL</v>
          </cell>
          <cell r="H624">
            <v>6451.6129032258059</v>
          </cell>
          <cell r="U624">
            <v>-118.99999999999636</v>
          </cell>
          <cell r="AD624">
            <v>1</v>
          </cell>
        </row>
        <row r="625">
          <cell r="D625">
            <v>43013</v>
          </cell>
          <cell r="F625" t="str">
            <v>SELL</v>
          </cell>
          <cell r="H625">
            <v>1272.2646310432569</v>
          </cell>
          <cell r="U625">
            <v>120.58027989822403</v>
          </cell>
          <cell r="AD625">
            <v>2</v>
          </cell>
        </row>
        <row r="626">
          <cell r="D626">
            <v>43014</v>
          </cell>
          <cell r="F626" t="str">
            <v>BUY</v>
          </cell>
          <cell r="H626">
            <v>100</v>
          </cell>
          <cell r="U626">
            <v>0</v>
          </cell>
          <cell r="AD626">
            <v>0</v>
          </cell>
        </row>
        <row r="627">
          <cell r="D627">
            <v>43017</v>
          </cell>
          <cell r="F627" t="str">
            <v>SELL</v>
          </cell>
          <cell r="H627">
            <v>3584.2293906810037</v>
          </cell>
          <cell r="U627">
            <v>-403.16835125448597</v>
          </cell>
          <cell r="AD627">
            <v>1</v>
          </cell>
        </row>
        <row r="628">
          <cell r="D628">
            <v>43017</v>
          </cell>
          <cell r="F628" t="str">
            <v>SELL</v>
          </cell>
          <cell r="H628">
            <v>8.291873963515755</v>
          </cell>
          <cell r="U628">
            <v>-176.51311774461101</v>
          </cell>
          <cell r="AD628">
            <v>1</v>
          </cell>
        </row>
        <row r="629">
          <cell r="D629">
            <v>43018</v>
          </cell>
          <cell r="F629" t="str">
            <v>BUY</v>
          </cell>
          <cell r="H629">
            <v>590.31877213695395</v>
          </cell>
          <cell r="U629">
            <v>0</v>
          </cell>
          <cell r="AD629">
            <v>0</v>
          </cell>
        </row>
        <row r="630">
          <cell r="D630">
            <v>43019</v>
          </cell>
          <cell r="F630" t="str">
            <v>BUY</v>
          </cell>
          <cell r="H630">
            <v>1428.5714285714287</v>
          </cell>
          <cell r="U630">
            <v>0</v>
          </cell>
          <cell r="AD630">
            <v>0</v>
          </cell>
        </row>
        <row r="631">
          <cell r="D631">
            <v>43019</v>
          </cell>
          <cell r="F631" t="str">
            <v>BUY</v>
          </cell>
          <cell r="H631">
            <v>613.49693251533745</v>
          </cell>
          <cell r="U631">
            <v>0</v>
          </cell>
          <cell r="AD631">
            <v>0</v>
          </cell>
        </row>
        <row r="632">
          <cell r="D632">
            <v>43020</v>
          </cell>
          <cell r="F632" t="str">
            <v>BUY</v>
          </cell>
          <cell r="H632">
            <v>278.16411682892902</v>
          </cell>
          <cell r="U632">
            <v>0</v>
          </cell>
          <cell r="AD632">
            <v>0</v>
          </cell>
        </row>
        <row r="633">
          <cell r="D633">
            <v>43020</v>
          </cell>
          <cell r="F633" t="str">
            <v>SELL</v>
          </cell>
          <cell r="H633">
            <v>1428.5714285714287</v>
          </cell>
          <cell r="U633">
            <v>-968.47285714285681</v>
          </cell>
          <cell r="AD633">
            <v>1</v>
          </cell>
        </row>
        <row r="634">
          <cell r="D634">
            <v>43020</v>
          </cell>
          <cell r="F634" t="str">
            <v>SELL</v>
          </cell>
          <cell r="H634">
            <v>4.8309178743961354</v>
          </cell>
          <cell r="U634">
            <v>-109.41816425120669</v>
          </cell>
          <cell r="AD634">
            <v>1</v>
          </cell>
        </row>
        <row r="635">
          <cell r="D635">
            <v>43020</v>
          </cell>
          <cell r="F635" t="str">
            <v>SELL</v>
          </cell>
          <cell r="H635">
            <v>2941.1764705882356</v>
          </cell>
          <cell r="U635">
            <v>1979.6970588235345</v>
          </cell>
          <cell r="AD635">
            <v>2</v>
          </cell>
        </row>
        <row r="636">
          <cell r="D636">
            <v>43021</v>
          </cell>
          <cell r="F636" t="str">
            <v>BUY</v>
          </cell>
          <cell r="H636">
            <v>110.43622308117062</v>
          </cell>
          <cell r="U636">
            <v>0</v>
          </cell>
          <cell r="AD636">
            <v>0</v>
          </cell>
        </row>
        <row r="637">
          <cell r="D637">
            <v>43021</v>
          </cell>
          <cell r="F637" t="str">
            <v>SELL</v>
          </cell>
          <cell r="H637">
            <v>613.49693251533745</v>
          </cell>
          <cell r="U637">
            <v>-301.39907975459755</v>
          </cell>
          <cell r="AD637">
            <v>1</v>
          </cell>
        </row>
        <row r="638">
          <cell r="D638">
            <v>43026</v>
          </cell>
          <cell r="F638" t="str">
            <v>SELL</v>
          </cell>
          <cell r="H638">
            <v>110.43622308117062</v>
          </cell>
          <cell r="U638">
            <v>-212.04078961899359</v>
          </cell>
          <cell r="AD638">
            <v>1</v>
          </cell>
        </row>
        <row r="639">
          <cell r="D639">
            <v>43027</v>
          </cell>
          <cell r="F639" t="str">
            <v>BUY</v>
          </cell>
          <cell r="H639">
            <v>108.69565217391305</v>
          </cell>
          <cell r="U639">
            <v>0</v>
          </cell>
          <cell r="AD639">
            <v>0</v>
          </cell>
        </row>
        <row r="640">
          <cell r="D640">
            <v>43031</v>
          </cell>
          <cell r="F640" t="str">
            <v>SELL</v>
          </cell>
          <cell r="H640">
            <v>108.69565217391305</v>
          </cell>
          <cell r="U640">
            <v>-366.78000000000429</v>
          </cell>
          <cell r="AD640">
            <v>1</v>
          </cell>
        </row>
        <row r="641">
          <cell r="D641">
            <v>43031</v>
          </cell>
          <cell r="F641" t="str">
            <v>SELL</v>
          </cell>
          <cell r="H641">
            <v>11.160714285714286</v>
          </cell>
          <cell r="U641">
            <v>1219.3464285714344</v>
          </cell>
          <cell r="AD641">
            <v>2</v>
          </cell>
        </row>
        <row r="642">
          <cell r="D642">
            <v>43032</v>
          </cell>
          <cell r="F642" t="str">
            <v>BUY</v>
          </cell>
          <cell r="H642">
            <v>5.7471264367816088</v>
          </cell>
          <cell r="U642">
            <v>0</v>
          </cell>
          <cell r="AD642">
            <v>0</v>
          </cell>
        </row>
        <row r="643">
          <cell r="D643">
            <v>43032</v>
          </cell>
          <cell r="F643" t="str">
            <v>BUY</v>
          </cell>
          <cell r="H643">
            <v>5952.3809523809523</v>
          </cell>
          <cell r="U643">
            <v>0</v>
          </cell>
          <cell r="AD643">
            <v>0</v>
          </cell>
        </row>
        <row r="644">
          <cell r="D644">
            <v>43035</v>
          </cell>
          <cell r="F644" t="str">
            <v>BUY</v>
          </cell>
          <cell r="H644">
            <v>3571.4285714285716</v>
          </cell>
          <cell r="U644">
            <v>0</v>
          </cell>
          <cell r="AD644">
            <v>0</v>
          </cell>
        </row>
        <row r="645">
          <cell r="D645">
            <v>43035</v>
          </cell>
          <cell r="F645" t="str">
            <v>SELL</v>
          </cell>
          <cell r="H645">
            <v>5952.3809523809523</v>
          </cell>
          <cell r="U645">
            <v>-119.00000000000546</v>
          </cell>
          <cell r="AD645">
            <v>1</v>
          </cell>
        </row>
        <row r="646">
          <cell r="D646">
            <v>43038</v>
          </cell>
          <cell r="F646" t="str">
            <v>SELL</v>
          </cell>
          <cell r="H646">
            <v>3571.4285714285716</v>
          </cell>
          <cell r="U646">
            <v>-437.54857142856054</v>
          </cell>
          <cell r="AD646">
            <v>1</v>
          </cell>
        </row>
        <row r="647">
          <cell r="D647">
            <v>43041</v>
          </cell>
          <cell r="F647" t="str">
            <v>BUY</v>
          </cell>
          <cell r="H647">
            <v>3389.8305084745762</v>
          </cell>
          <cell r="U647">
            <v>0</v>
          </cell>
          <cell r="AD647">
            <v>0</v>
          </cell>
        </row>
        <row r="648">
          <cell r="D648">
            <v>43041</v>
          </cell>
          <cell r="F648" t="str">
            <v>BUY</v>
          </cell>
          <cell r="H648">
            <v>1754.3859649122805</v>
          </cell>
          <cell r="U648">
            <v>0</v>
          </cell>
          <cell r="AD648">
            <v>0</v>
          </cell>
        </row>
        <row r="649">
          <cell r="D649">
            <v>43041</v>
          </cell>
          <cell r="F649" t="str">
            <v>BUY</v>
          </cell>
          <cell r="H649">
            <v>3496.5034965034965</v>
          </cell>
          <cell r="U649">
            <v>0</v>
          </cell>
          <cell r="AD649">
            <v>0</v>
          </cell>
        </row>
        <row r="650">
          <cell r="D650">
            <v>43042</v>
          </cell>
          <cell r="F650" t="str">
            <v>SELL</v>
          </cell>
          <cell r="H650">
            <v>100</v>
          </cell>
          <cell r="U650">
            <v>9.8299999999999272</v>
          </cell>
          <cell r="AD650">
            <v>2</v>
          </cell>
        </row>
        <row r="651">
          <cell r="D651">
            <v>43042</v>
          </cell>
          <cell r="F651" t="str">
            <v>SELL</v>
          </cell>
          <cell r="H651">
            <v>45.045045045045043</v>
          </cell>
          <cell r="U651">
            <v>1050.6201801801872</v>
          </cell>
          <cell r="AD651">
            <v>2</v>
          </cell>
        </row>
        <row r="652">
          <cell r="D652">
            <v>43045</v>
          </cell>
          <cell r="F652" t="str">
            <v>BUY</v>
          </cell>
          <cell r="H652">
            <v>10.020040080160321</v>
          </cell>
          <cell r="U652">
            <v>0</v>
          </cell>
          <cell r="AD652">
            <v>0</v>
          </cell>
        </row>
        <row r="653">
          <cell r="D653">
            <v>43045</v>
          </cell>
          <cell r="F653" t="str">
            <v>BUY</v>
          </cell>
          <cell r="H653">
            <v>29411.76470588235</v>
          </cell>
          <cell r="U653">
            <v>0</v>
          </cell>
          <cell r="AD653">
            <v>0</v>
          </cell>
        </row>
        <row r="654">
          <cell r="D654">
            <v>43045</v>
          </cell>
          <cell r="F654" t="str">
            <v>BUY</v>
          </cell>
          <cell r="H654">
            <v>822.36842105263156</v>
          </cell>
          <cell r="U654">
            <v>0</v>
          </cell>
          <cell r="AD654">
            <v>0</v>
          </cell>
        </row>
        <row r="655">
          <cell r="D655">
            <v>43046</v>
          </cell>
          <cell r="F655" t="str">
            <v>SELL</v>
          </cell>
          <cell r="H655">
            <v>10.020040080160321</v>
          </cell>
          <cell r="U655">
            <v>-347.40092184369132</v>
          </cell>
          <cell r="AD655">
            <v>1</v>
          </cell>
        </row>
        <row r="656">
          <cell r="D656">
            <v>43047</v>
          </cell>
          <cell r="F656" t="str">
            <v>BUY</v>
          </cell>
          <cell r="H656">
            <v>465.11627906976742</v>
          </cell>
          <cell r="U656">
            <v>0</v>
          </cell>
          <cell r="AD656">
            <v>0</v>
          </cell>
        </row>
        <row r="657">
          <cell r="D657">
            <v>43048</v>
          </cell>
          <cell r="F657" t="str">
            <v>BUY</v>
          </cell>
          <cell r="H657">
            <v>310.55900621118008</v>
          </cell>
          <cell r="U657">
            <v>0</v>
          </cell>
          <cell r="AD657">
            <v>0</v>
          </cell>
        </row>
        <row r="658">
          <cell r="D658">
            <v>43048</v>
          </cell>
          <cell r="F658" t="str">
            <v>SELL</v>
          </cell>
          <cell r="H658">
            <v>3389.8305084745762</v>
          </cell>
          <cell r="U658">
            <v>-454.95305084746724</v>
          </cell>
          <cell r="AD658">
            <v>1</v>
          </cell>
        </row>
        <row r="659">
          <cell r="D659">
            <v>43049</v>
          </cell>
          <cell r="F659" t="str">
            <v>SELL</v>
          </cell>
          <cell r="H659">
            <v>1754.3859649122805</v>
          </cell>
          <cell r="U659">
            <v>-258.10087719297553</v>
          </cell>
          <cell r="AD659">
            <v>1</v>
          </cell>
        </row>
        <row r="660">
          <cell r="D660">
            <v>43049</v>
          </cell>
          <cell r="F660" t="str">
            <v>SELL</v>
          </cell>
          <cell r="H660">
            <v>278.16411682892902</v>
          </cell>
          <cell r="U660">
            <v>60.196675938801491</v>
          </cell>
          <cell r="AD660">
            <v>2</v>
          </cell>
        </row>
        <row r="661">
          <cell r="D661">
            <v>43052</v>
          </cell>
          <cell r="F661" t="str">
            <v>BUY</v>
          </cell>
          <cell r="H661">
            <v>925.92592592592587</v>
          </cell>
          <cell r="U661">
            <v>0</v>
          </cell>
          <cell r="AD661">
            <v>0</v>
          </cell>
        </row>
        <row r="662">
          <cell r="D662">
            <v>43052</v>
          </cell>
          <cell r="F662" t="str">
            <v>BUY</v>
          </cell>
          <cell r="H662">
            <v>38.910505836575872</v>
          </cell>
          <cell r="U662">
            <v>0</v>
          </cell>
          <cell r="AD662">
            <v>0</v>
          </cell>
        </row>
        <row r="663">
          <cell r="D663">
            <v>43055</v>
          </cell>
          <cell r="F663" t="str">
            <v>SELL</v>
          </cell>
          <cell r="H663">
            <v>512.29508196721315</v>
          </cell>
          <cell r="U663">
            <v>-890.71852459016009</v>
          </cell>
          <cell r="AD663">
            <v>1</v>
          </cell>
        </row>
        <row r="664">
          <cell r="D664">
            <v>43055</v>
          </cell>
          <cell r="F664" t="str">
            <v>SELL</v>
          </cell>
          <cell r="H664">
            <v>465.11627906976742</v>
          </cell>
          <cell r="U664">
            <v>-649.09372093024467</v>
          </cell>
          <cell r="AD664">
            <v>1</v>
          </cell>
        </row>
        <row r="665">
          <cell r="D665">
            <v>43055</v>
          </cell>
          <cell r="F665" t="str">
            <v>SELL</v>
          </cell>
          <cell r="H665">
            <v>3496.5034965034965</v>
          </cell>
          <cell r="U665">
            <v>504.740629370639</v>
          </cell>
          <cell r="AD665">
            <v>2</v>
          </cell>
        </row>
        <row r="666">
          <cell r="D666">
            <v>43059</v>
          </cell>
          <cell r="F666" t="str">
            <v>BUY</v>
          </cell>
          <cell r="H666">
            <v>1020.408163265306</v>
          </cell>
          <cell r="U666">
            <v>0</v>
          </cell>
          <cell r="AD666">
            <v>0</v>
          </cell>
        </row>
        <row r="667">
          <cell r="D667">
            <v>43059</v>
          </cell>
          <cell r="F667" t="str">
            <v>SELL</v>
          </cell>
          <cell r="H667">
            <v>925.92592592592587</v>
          </cell>
          <cell r="U667">
            <v>-412.64629629628689</v>
          </cell>
          <cell r="AD667">
            <v>1</v>
          </cell>
        </row>
        <row r="668">
          <cell r="D668">
            <v>43060</v>
          </cell>
          <cell r="F668" t="str">
            <v>BUY</v>
          </cell>
          <cell r="H668">
            <v>5555.5555555555557</v>
          </cell>
          <cell r="U668">
            <v>0</v>
          </cell>
          <cell r="AD668">
            <v>0</v>
          </cell>
        </row>
        <row r="669">
          <cell r="D669">
            <v>43061</v>
          </cell>
          <cell r="F669" t="str">
            <v>BUY</v>
          </cell>
          <cell r="H669">
            <v>3448.2758620689656</v>
          </cell>
          <cell r="U669">
            <v>0</v>
          </cell>
          <cell r="AD669">
            <v>0</v>
          </cell>
        </row>
        <row r="670">
          <cell r="D670">
            <v>43063</v>
          </cell>
          <cell r="F670" t="str">
            <v>BUY</v>
          </cell>
          <cell r="H670">
            <v>224.71910112359549</v>
          </cell>
          <cell r="U670">
            <v>0</v>
          </cell>
          <cell r="AD670">
            <v>0</v>
          </cell>
        </row>
        <row r="671">
          <cell r="D671">
            <v>43063</v>
          </cell>
          <cell r="F671" t="str">
            <v>BUY</v>
          </cell>
          <cell r="H671">
            <v>2544.5292620865139</v>
          </cell>
          <cell r="U671">
            <v>0</v>
          </cell>
          <cell r="AD671">
            <v>0</v>
          </cell>
        </row>
        <row r="672">
          <cell r="D672">
            <v>43063</v>
          </cell>
          <cell r="F672" t="str">
            <v>SELL</v>
          </cell>
          <cell r="H672">
            <v>1515.1515151515152</v>
          </cell>
          <cell r="U672">
            <v>-1770.746666666666</v>
          </cell>
          <cell r="AD672">
            <v>1</v>
          </cell>
        </row>
        <row r="673">
          <cell r="D673">
            <v>43066</v>
          </cell>
          <cell r="F673" t="str">
            <v>BUY</v>
          </cell>
          <cell r="H673">
            <v>1408.4507042253522</v>
          </cell>
          <cell r="U673">
            <v>0</v>
          </cell>
          <cell r="AD673">
            <v>0</v>
          </cell>
        </row>
        <row r="674">
          <cell r="D674">
            <v>43066</v>
          </cell>
          <cell r="F674" t="str">
            <v>SELL</v>
          </cell>
          <cell r="H674">
            <v>38.910505836575872</v>
          </cell>
          <cell r="U674">
            <v>-234.69151750973833</v>
          </cell>
          <cell r="AD674">
            <v>1</v>
          </cell>
        </row>
        <row r="675">
          <cell r="D675">
            <v>43067</v>
          </cell>
          <cell r="F675" t="str">
            <v>BUY</v>
          </cell>
          <cell r="H675">
            <v>104.32968179447053</v>
          </cell>
          <cell r="U675">
            <v>0</v>
          </cell>
          <cell r="AD675">
            <v>0</v>
          </cell>
        </row>
        <row r="676">
          <cell r="D676">
            <v>43067</v>
          </cell>
          <cell r="F676" t="str">
            <v>SELL</v>
          </cell>
          <cell r="H676">
            <v>310.55900621118008</v>
          </cell>
          <cell r="U676">
            <v>527.33391304347788</v>
          </cell>
          <cell r="AD676">
            <v>2</v>
          </cell>
        </row>
        <row r="677">
          <cell r="D677">
            <v>43070</v>
          </cell>
          <cell r="F677" t="str">
            <v>SELL</v>
          </cell>
          <cell r="H677">
            <v>93.720712277413313</v>
          </cell>
          <cell r="U677">
            <v>-722.73462980318072</v>
          </cell>
          <cell r="AD677">
            <v>1</v>
          </cell>
        </row>
        <row r="678">
          <cell r="D678">
            <v>43070</v>
          </cell>
          <cell r="F678" t="str">
            <v>SELL</v>
          </cell>
          <cell r="H678">
            <v>3448.2758620689656</v>
          </cell>
          <cell r="U678">
            <v>-221.51827586207037</v>
          </cell>
          <cell r="AD678">
            <v>1</v>
          </cell>
        </row>
        <row r="679">
          <cell r="D679">
            <v>43070</v>
          </cell>
          <cell r="F679" t="str">
            <v>SELL</v>
          </cell>
          <cell r="H679">
            <v>1020.408163265306</v>
          </cell>
          <cell r="U679">
            <v>-220.12081632652735</v>
          </cell>
          <cell r="AD679">
            <v>1</v>
          </cell>
        </row>
        <row r="680">
          <cell r="D680">
            <v>43070</v>
          </cell>
          <cell r="F680" t="str">
            <v>SELL</v>
          </cell>
          <cell r="H680">
            <v>29411.76470588235</v>
          </cell>
          <cell r="U680">
            <v>318.2364705881937</v>
          </cell>
          <cell r="AD680">
            <v>2</v>
          </cell>
        </row>
        <row r="681">
          <cell r="D681">
            <v>43074</v>
          </cell>
          <cell r="F681" t="str">
            <v>BUY</v>
          </cell>
          <cell r="H681">
            <v>5617.9775280898875</v>
          </cell>
          <cell r="U681">
            <v>0</v>
          </cell>
          <cell r="AD681">
            <v>0</v>
          </cell>
        </row>
        <row r="682">
          <cell r="D682">
            <v>43074</v>
          </cell>
          <cell r="F682" t="str">
            <v>BUY</v>
          </cell>
          <cell r="H682">
            <v>97.560975609756099</v>
          </cell>
          <cell r="U682">
            <v>0</v>
          </cell>
          <cell r="AD682">
            <v>0</v>
          </cell>
        </row>
        <row r="683">
          <cell r="D683">
            <v>43075</v>
          </cell>
          <cell r="F683" t="str">
            <v>SELL</v>
          </cell>
          <cell r="H683">
            <v>5617.9775280898875</v>
          </cell>
          <cell r="U683">
            <v>-564.42820224717616</v>
          </cell>
          <cell r="AD683">
            <v>1</v>
          </cell>
        </row>
        <row r="684">
          <cell r="D684">
            <v>43077</v>
          </cell>
          <cell r="F684" t="str">
            <v>BUY</v>
          </cell>
          <cell r="H684">
            <v>273.97260273972603</v>
          </cell>
          <cell r="U684">
            <v>0</v>
          </cell>
          <cell r="AD684">
            <v>0</v>
          </cell>
        </row>
        <row r="685">
          <cell r="D685">
            <v>43080</v>
          </cell>
          <cell r="F685" t="str">
            <v>BUY</v>
          </cell>
          <cell r="H685">
            <v>9.615384615384615</v>
          </cell>
          <cell r="U685">
            <v>0</v>
          </cell>
          <cell r="AD685">
            <v>0</v>
          </cell>
        </row>
        <row r="686">
          <cell r="D686">
            <v>43084</v>
          </cell>
          <cell r="F686" t="str">
            <v>BUY</v>
          </cell>
          <cell r="H686">
            <v>4166.666666666667</v>
          </cell>
          <cell r="U686">
            <v>0</v>
          </cell>
          <cell r="AD686">
            <v>0</v>
          </cell>
        </row>
        <row r="687">
          <cell r="D687">
            <v>43084</v>
          </cell>
          <cell r="F687" t="str">
            <v>BUY</v>
          </cell>
          <cell r="H687">
            <v>1736.1111111111111</v>
          </cell>
          <cell r="U687">
            <v>0</v>
          </cell>
          <cell r="AD687">
            <v>0</v>
          </cell>
        </row>
        <row r="688">
          <cell r="D688">
            <v>43084</v>
          </cell>
          <cell r="F688" t="str">
            <v>SELL</v>
          </cell>
          <cell r="H688">
            <v>97.560975609756099</v>
          </cell>
          <cell r="U688">
            <v>-70.639512195124553</v>
          </cell>
          <cell r="AD688">
            <v>1</v>
          </cell>
        </row>
        <row r="689">
          <cell r="D689">
            <v>43084</v>
          </cell>
          <cell r="F689" t="str">
            <v>SELL</v>
          </cell>
          <cell r="H689">
            <v>2544.5292620865139</v>
          </cell>
          <cell r="U689">
            <v>2100.1457506361294</v>
          </cell>
          <cell r="AD689">
            <v>2</v>
          </cell>
        </row>
        <row r="690">
          <cell r="D690">
            <v>43087</v>
          </cell>
          <cell r="F690" t="str">
            <v>BUY</v>
          </cell>
          <cell r="H690">
            <v>2392.3444976076557</v>
          </cell>
          <cell r="U690">
            <v>0</v>
          </cell>
          <cell r="AD690">
            <v>0</v>
          </cell>
        </row>
        <row r="691">
          <cell r="D691">
            <v>43087</v>
          </cell>
          <cell r="F691" t="str">
            <v>SELL</v>
          </cell>
          <cell r="H691">
            <v>2132.1961620469083</v>
          </cell>
          <cell r="U691">
            <v>-1133.2941577825186</v>
          </cell>
          <cell r="AD691">
            <v>1</v>
          </cell>
        </row>
        <row r="692">
          <cell r="D692">
            <v>43087</v>
          </cell>
          <cell r="F692" t="str">
            <v>SELL</v>
          </cell>
          <cell r="H692">
            <v>4166.666666666667</v>
          </cell>
          <cell r="U692">
            <v>-697.10333333334165</v>
          </cell>
          <cell r="AD692">
            <v>1</v>
          </cell>
        </row>
        <row r="693">
          <cell r="D693">
            <v>43088</v>
          </cell>
          <cell r="F693" t="str">
            <v>SELL</v>
          </cell>
          <cell r="H693">
            <v>1360.5442176870749</v>
          </cell>
          <cell r="U693">
            <v>-3520.8914285714291</v>
          </cell>
          <cell r="AD693">
            <v>1</v>
          </cell>
        </row>
        <row r="694">
          <cell r="D694">
            <v>43088</v>
          </cell>
          <cell r="F694" t="str">
            <v>SELL</v>
          </cell>
          <cell r="H694">
            <v>2392.3444976076557</v>
          </cell>
          <cell r="U694">
            <v>-427.21478468899659</v>
          </cell>
          <cell r="AD694">
            <v>1</v>
          </cell>
        </row>
        <row r="695">
          <cell r="D695">
            <v>43089</v>
          </cell>
          <cell r="F695" t="str">
            <v>SELL</v>
          </cell>
          <cell r="H695">
            <v>104.32968179447053</v>
          </cell>
          <cell r="U695">
            <v>82.622879499220289</v>
          </cell>
          <cell r="AD695">
            <v>2</v>
          </cell>
        </row>
        <row r="696">
          <cell r="D696">
            <v>43098</v>
          </cell>
          <cell r="F696" t="str">
            <v>BUY</v>
          </cell>
          <cell r="H696">
            <v>20408.163265306124</v>
          </cell>
          <cell r="U696">
            <v>0</v>
          </cell>
          <cell r="AD696">
            <v>0</v>
          </cell>
        </row>
        <row r="697">
          <cell r="D697">
            <v>43103</v>
          </cell>
          <cell r="F697" t="str">
            <v>BUY</v>
          </cell>
          <cell r="H697">
            <v>866.55112651646459</v>
          </cell>
          <cell r="U697">
            <v>0</v>
          </cell>
          <cell r="AD697">
            <v>0</v>
          </cell>
        </row>
        <row r="698">
          <cell r="D698">
            <v>43103</v>
          </cell>
          <cell r="F698" t="str">
            <v>BUY</v>
          </cell>
          <cell r="H698">
            <v>92.592592592592595</v>
          </cell>
          <cell r="U698">
            <v>0</v>
          </cell>
          <cell r="AD698">
            <v>0</v>
          </cell>
        </row>
        <row r="699">
          <cell r="D699">
            <v>43104</v>
          </cell>
          <cell r="F699" t="str">
            <v>BUY</v>
          </cell>
          <cell r="H699">
            <v>3225.8064516129029</v>
          </cell>
          <cell r="U699">
            <v>0</v>
          </cell>
          <cell r="AD699">
            <v>0</v>
          </cell>
        </row>
        <row r="700">
          <cell r="D700">
            <v>43104</v>
          </cell>
          <cell r="F700" t="str">
            <v>SELL</v>
          </cell>
          <cell r="H700">
            <v>224.71910112359549</v>
          </cell>
          <cell r="U700">
            <v>-174.6697752808941</v>
          </cell>
          <cell r="AD700">
            <v>1</v>
          </cell>
        </row>
        <row r="701">
          <cell r="D701">
            <v>43105</v>
          </cell>
          <cell r="F701" t="str">
            <v>BUY</v>
          </cell>
          <cell r="H701">
            <v>679.3478260869565</v>
          </cell>
          <cell r="U701">
            <v>0</v>
          </cell>
          <cell r="AD701">
            <v>0</v>
          </cell>
        </row>
        <row r="702">
          <cell r="D702">
            <v>43105</v>
          </cell>
          <cell r="F702" t="str">
            <v>BUY</v>
          </cell>
          <cell r="H702">
            <v>219.78021978021977</v>
          </cell>
          <cell r="U702">
            <v>0</v>
          </cell>
          <cell r="AD702">
            <v>0</v>
          </cell>
        </row>
        <row r="703">
          <cell r="D703">
            <v>43105</v>
          </cell>
          <cell r="F703" t="str">
            <v>BUY</v>
          </cell>
          <cell r="H703">
            <v>27027.027027027027</v>
          </cell>
          <cell r="U703">
            <v>0</v>
          </cell>
          <cell r="AD703">
            <v>0</v>
          </cell>
        </row>
        <row r="704">
          <cell r="D704">
            <v>43105</v>
          </cell>
          <cell r="F704" t="str">
            <v>SELL</v>
          </cell>
          <cell r="H704">
            <v>3225.8064516129029</v>
          </cell>
          <cell r="U704">
            <v>-726.42322580645123</v>
          </cell>
          <cell r="AD704">
            <v>1</v>
          </cell>
        </row>
        <row r="705">
          <cell r="D705">
            <v>43105</v>
          </cell>
          <cell r="F705" t="str">
            <v>SELL</v>
          </cell>
          <cell r="H705">
            <v>1736.1111111111111</v>
          </cell>
          <cell r="U705">
            <v>982.16111111110877</v>
          </cell>
          <cell r="AD705">
            <v>2</v>
          </cell>
        </row>
        <row r="706">
          <cell r="D706">
            <v>43109</v>
          </cell>
          <cell r="F706" t="str">
            <v>BUY</v>
          </cell>
          <cell r="H706">
            <v>185.35681186283594</v>
          </cell>
          <cell r="U706">
            <v>0</v>
          </cell>
          <cell r="AD706">
            <v>0</v>
          </cell>
        </row>
        <row r="707">
          <cell r="D707">
            <v>43109</v>
          </cell>
          <cell r="F707" t="str">
            <v>BUY</v>
          </cell>
          <cell r="H707">
            <v>735.2941176470589</v>
          </cell>
          <cell r="U707">
            <v>0</v>
          </cell>
          <cell r="AD707">
            <v>0</v>
          </cell>
        </row>
        <row r="708">
          <cell r="D708">
            <v>43109</v>
          </cell>
          <cell r="F708" t="str">
            <v>SELL</v>
          </cell>
          <cell r="H708">
            <v>866.55112651646459</v>
          </cell>
          <cell r="U708">
            <v>-531.22454072790606</v>
          </cell>
          <cell r="AD708">
            <v>1</v>
          </cell>
        </row>
        <row r="709">
          <cell r="D709">
            <v>43111</v>
          </cell>
          <cell r="F709" t="str">
            <v>BUY</v>
          </cell>
          <cell r="H709">
            <v>3355.7046979865772</v>
          </cell>
          <cell r="U709">
            <v>0</v>
          </cell>
          <cell r="AD709">
            <v>0</v>
          </cell>
        </row>
        <row r="710">
          <cell r="D710">
            <v>43111</v>
          </cell>
          <cell r="F710" t="str">
            <v>SELL</v>
          </cell>
          <cell r="H710">
            <v>219.78021978021977</v>
          </cell>
          <cell r="U710">
            <v>-369.47725274725053</v>
          </cell>
          <cell r="AD710">
            <v>1</v>
          </cell>
        </row>
        <row r="711">
          <cell r="D711">
            <v>43111</v>
          </cell>
          <cell r="F711" t="str">
            <v>SELL</v>
          </cell>
          <cell r="H711">
            <v>273.97260273972603</v>
          </cell>
          <cell r="U711">
            <v>424.04520547945685</v>
          </cell>
          <cell r="AD711">
            <v>2</v>
          </cell>
        </row>
        <row r="712">
          <cell r="D712">
            <v>43112</v>
          </cell>
          <cell r="F712" t="str">
            <v>SELL</v>
          </cell>
          <cell r="H712">
            <v>130.03901170351105</v>
          </cell>
          <cell r="U712">
            <v>-531.40483745123311</v>
          </cell>
          <cell r="AD712">
            <v>1</v>
          </cell>
        </row>
        <row r="713">
          <cell r="D713">
            <v>43112</v>
          </cell>
          <cell r="F713" t="str">
            <v>SELL</v>
          </cell>
          <cell r="H713">
            <v>92.592592592592595</v>
          </cell>
          <cell r="U713">
            <v>-73.113703703702413</v>
          </cell>
          <cell r="AD713">
            <v>1</v>
          </cell>
        </row>
        <row r="714">
          <cell r="D714">
            <v>43115</v>
          </cell>
          <cell r="F714" t="str">
            <v>BUY</v>
          </cell>
          <cell r="H714">
            <v>540.54054054054052</v>
          </cell>
          <cell r="U714">
            <v>0</v>
          </cell>
          <cell r="AD714">
            <v>0</v>
          </cell>
        </row>
        <row r="715">
          <cell r="D715">
            <v>43115</v>
          </cell>
          <cell r="F715" t="str">
            <v>SELL</v>
          </cell>
          <cell r="H715">
            <v>6493.5064935064929</v>
          </cell>
          <cell r="U715">
            <v>-3211.1131168831225</v>
          </cell>
          <cell r="AD715">
            <v>1</v>
          </cell>
        </row>
        <row r="716">
          <cell r="D716">
            <v>43116</v>
          </cell>
          <cell r="F716" t="str">
            <v>BUY</v>
          </cell>
          <cell r="H716">
            <v>1063.8297872340424</v>
          </cell>
          <cell r="U716">
            <v>0</v>
          </cell>
          <cell r="AD716">
            <v>0</v>
          </cell>
        </row>
        <row r="717">
          <cell r="D717">
            <v>43116</v>
          </cell>
          <cell r="F717" t="str">
            <v>SELL</v>
          </cell>
          <cell r="H717">
            <v>9.615384615384615</v>
          </cell>
          <cell r="U717">
            <v>-4.6453846153926861</v>
          </cell>
          <cell r="AD717">
            <v>1</v>
          </cell>
        </row>
        <row r="718">
          <cell r="D718">
            <v>43117</v>
          </cell>
          <cell r="F718" t="str">
            <v>BUY</v>
          </cell>
          <cell r="H718">
            <v>127.95905310300702</v>
          </cell>
          <cell r="U718">
            <v>0</v>
          </cell>
          <cell r="AD718">
            <v>0</v>
          </cell>
        </row>
        <row r="719">
          <cell r="D719">
            <v>43117</v>
          </cell>
          <cell r="F719" t="str">
            <v>SELL</v>
          </cell>
          <cell r="H719">
            <v>1408.4507042253522</v>
          </cell>
          <cell r="U719">
            <v>1402.4712676056333</v>
          </cell>
          <cell r="AD719">
            <v>2</v>
          </cell>
        </row>
        <row r="720">
          <cell r="D720">
            <v>43118</v>
          </cell>
          <cell r="F720" t="str">
            <v>BUY</v>
          </cell>
          <cell r="H720">
            <v>2358.4905660377358</v>
          </cell>
          <cell r="U720">
            <v>0</v>
          </cell>
          <cell r="AD720">
            <v>0</v>
          </cell>
        </row>
        <row r="721">
          <cell r="D721">
            <v>43119</v>
          </cell>
          <cell r="F721" t="str">
            <v>BUY</v>
          </cell>
          <cell r="H721">
            <v>80.97165991902834</v>
          </cell>
          <cell r="U721">
            <v>0</v>
          </cell>
          <cell r="AD721">
            <v>0</v>
          </cell>
        </row>
        <row r="722">
          <cell r="D722">
            <v>43119</v>
          </cell>
          <cell r="F722" t="str">
            <v>BUY</v>
          </cell>
          <cell r="H722">
            <v>1107.419712070875</v>
          </cell>
          <cell r="U722">
            <v>0</v>
          </cell>
          <cell r="AD722">
            <v>0</v>
          </cell>
        </row>
        <row r="723">
          <cell r="D723">
            <v>43119</v>
          </cell>
          <cell r="F723" t="str">
            <v>SELL</v>
          </cell>
          <cell r="H723">
            <v>2358.4905660377358</v>
          </cell>
          <cell r="U723">
            <v>-399.47886792452664</v>
          </cell>
          <cell r="AD723">
            <v>1</v>
          </cell>
        </row>
        <row r="724">
          <cell r="D724">
            <v>43119</v>
          </cell>
          <cell r="F724" t="str">
            <v>SELL</v>
          </cell>
          <cell r="H724">
            <v>185.35681186283594</v>
          </cell>
          <cell r="U724">
            <v>-275.13329008341498</v>
          </cell>
          <cell r="AD724">
            <v>1</v>
          </cell>
        </row>
        <row r="725">
          <cell r="D725">
            <v>43122</v>
          </cell>
          <cell r="F725" t="str">
            <v>SELL</v>
          </cell>
          <cell r="H725">
            <v>127.95905310300702</v>
          </cell>
          <cell r="U725">
            <v>-518.4610172744724</v>
          </cell>
          <cell r="AD725">
            <v>1</v>
          </cell>
        </row>
        <row r="726">
          <cell r="D726">
            <v>43124</v>
          </cell>
          <cell r="F726" t="str">
            <v>BUY</v>
          </cell>
          <cell r="H726">
            <v>1090.5125408942204</v>
          </cell>
          <cell r="U726">
            <v>0</v>
          </cell>
          <cell r="AD726">
            <v>0</v>
          </cell>
        </row>
        <row r="727">
          <cell r="D727">
            <v>43124</v>
          </cell>
          <cell r="F727" t="str">
            <v>BUY</v>
          </cell>
          <cell r="H727">
            <v>843.17032040472179</v>
          </cell>
          <cell r="U727">
            <v>0</v>
          </cell>
          <cell r="AD727">
            <v>0</v>
          </cell>
        </row>
        <row r="728">
          <cell r="D728">
            <v>43124</v>
          </cell>
          <cell r="F728" t="str">
            <v>SELL</v>
          </cell>
          <cell r="H728">
            <v>80.97165991902834</v>
          </cell>
          <cell r="U728">
            <v>-552.3469635627589</v>
          </cell>
          <cell r="AD728">
            <v>1</v>
          </cell>
        </row>
        <row r="729">
          <cell r="D729">
            <v>43125</v>
          </cell>
          <cell r="F729" t="str">
            <v>BUY</v>
          </cell>
          <cell r="H729">
            <v>462.96296296296293</v>
          </cell>
          <cell r="U729">
            <v>0</v>
          </cell>
          <cell r="AD729">
            <v>0</v>
          </cell>
        </row>
        <row r="730">
          <cell r="D730">
            <v>43125</v>
          </cell>
          <cell r="F730" t="str">
            <v>BUY</v>
          </cell>
          <cell r="H730">
            <v>1111.1111111111111</v>
          </cell>
          <cell r="U730">
            <v>0</v>
          </cell>
          <cell r="AD730">
            <v>0</v>
          </cell>
        </row>
        <row r="731">
          <cell r="D731">
            <v>43125</v>
          </cell>
          <cell r="F731" t="str">
            <v>SELL</v>
          </cell>
          <cell r="H731">
            <v>735.2941176470589</v>
          </cell>
          <cell r="U731">
            <v>886.62588235294243</v>
          </cell>
          <cell r="AD731">
            <v>2</v>
          </cell>
        </row>
        <row r="732">
          <cell r="D732">
            <v>43125</v>
          </cell>
          <cell r="F732" t="str">
            <v>SELL</v>
          </cell>
          <cell r="H732">
            <v>590.31877213695395</v>
          </cell>
          <cell r="U732">
            <v>3543.3255135773379</v>
          </cell>
          <cell r="AD732">
            <v>2</v>
          </cell>
        </row>
        <row r="733">
          <cell r="D733">
            <v>43126</v>
          </cell>
          <cell r="F733" t="str">
            <v>BUY</v>
          </cell>
          <cell r="H733">
            <v>535.9056806002144</v>
          </cell>
          <cell r="U733">
            <v>0</v>
          </cell>
          <cell r="AD733">
            <v>0</v>
          </cell>
        </row>
        <row r="734">
          <cell r="D734">
            <v>43126</v>
          </cell>
          <cell r="F734" t="str">
            <v>BUY</v>
          </cell>
          <cell r="H734">
            <v>2380.9523809523807</v>
          </cell>
          <cell r="U734">
            <v>0</v>
          </cell>
          <cell r="AD734">
            <v>0</v>
          </cell>
        </row>
        <row r="735">
          <cell r="D735">
            <v>43130</v>
          </cell>
          <cell r="F735" t="str">
            <v>SELL</v>
          </cell>
          <cell r="H735">
            <v>1090.5125408942204</v>
          </cell>
          <cell r="U735">
            <v>-648.56114503816752</v>
          </cell>
          <cell r="AD735">
            <v>1</v>
          </cell>
        </row>
        <row r="736">
          <cell r="D736">
            <v>43130</v>
          </cell>
          <cell r="F736" t="str">
            <v>SELL</v>
          </cell>
          <cell r="H736">
            <v>1107.419712070875</v>
          </cell>
          <cell r="U736">
            <v>309.03368770764246</v>
          </cell>
          <cell r="AD736">
            <v>2</v>
          </cell>
        </row>
        <row r="737">
          <cell r="D737">
            <v>43131</v>
          </cell>
          <cell r="F737" t="str">
            <v>BUY</v>
          </cell>
          <cell r="H737">
            <v>16949.152542372882</v>
          </cell>
          <cell r="U737">
            <v>0</v>
          </cell>
          <cell r="AD737">
            <v>0</v>
          </cell>
        </row>
        <row r="738">
          <cell r="D738">
            <v>43131</v>
          </cell>
          <cell r="F738" t="str">
            <v>BUY</v>
          </cell>
          <cell r="H738">
            <v>88.105726872246692</v>
          </cell>
          <cell r="U738">
            <v>0</v>
          </cell>
          <cell r="AD738">
            <v>0</v>
          </cell>
        </row>
        <row r="739">
          <cell r="D739">
            <v>43132</v>
          </cell>
          <cell r="F739" t="str">
            <v>BUY</v>
          </cell>
          <cell r="H739">
            <v>1908.3969465648854</v>
          </cell>
          <cell r="U739">
            <v>0</v>
          </cell>
          <cell r="AD739">
            <v>0</v>
          </cell>
        </row>
        <row r="740">
          <cell r="D740">
            <v>43132</v>
          </cell>
          <cell r="F740" t="str">
            <v>BUY</v>
          </cell>
          <cell r="H740">
            <v>425.531914893617</v>
          </cell>
          <cell r="U740">
            <v>0</v>
          </cell>
          <cell r="AD740">
            <v>0</v>
          </cell>
        </row>
        <row r="741">
          <cell r="D741">
            <v>43132</v>
          </cell>
          <cell r="F741" t="str">
            <v>SELL</v>
          </cell>
          <cell r="H741">
            <v>88.105726872246692</v>
          </cell>
          <cell r="U741">
            <v>-354.76546255506764</v>
          </cell>
          <cell r="AD741">
            <v>1</v>
          </cell>
        </row>
        <row r="742">
          <cell r="D742">
            <v>43132</v>
          </cell>
          <cell r="F742" t="str">
            <v>SELL</v>
          </cell>
          <cell r="H742">
            <v>1111.1111111111111</v>
          </cell>
          <cell r="U742">
            <v>-8.8888888888886868</v>
          </cell>
          <cell r="AD742">
            <v>1</v>
          </cell>
        </row>
        <row r="743">
          <cell r="D743">
            <v>43133</v>
          </cell>
          <cell r="F743" t="str">
            <v>SELL</v>
          </cell>
          <cell r="H743">
            <v>843.17032040472179</v>
          </cell>
          <cell r="U743">
            <v>81.550876897150374</v>
          </cell>
          <cell r="AD743">
            <v>2</v>
          </cell>
        </row>
        <row r="744">
          <cell r="D744">
            <v>43133</v>
          </cell>
          <cell r="F744" t="str">
            <v>SELL</v>
          </cell>
          <cell r="H744">
            <v>3355.7046979865772</v>
          </cell>
          <cell r="U744">
            <v>8727.2744966442733</v>
          </cell>
          <cell r="AD744">
            <v>2</v>
          </cell>
        </row>
        <row r="745">
          <cell r="D745">
            <v>43137</v>
          </cell>
          <cell r="F745" t="str">
            <v>BUY</v>
          </cell>
          <cell r="H745">
            <v>1579.7788309636651</v>
          </cell>
          <cell r="U745">
            <v>0</v>
          </cell>
          <cell r="AD745">
            <v>0</v>
          </cell>
        </row>
        <row r="746">
          <cell r="D746">
            <v>43138</v>
          </cell>
          <cell r="F746" t="str">
            <v>BUY</v>
          </cell>
          <cell r="H746">
            <v>781.25</v>
          </cell>
          <cell r="U746">
            <v>0</v>
          </cell>
          <cell r="AD746">
            <v>0</v>
          </cell>
        </row>
        <row r="747">
          <cell r="D747">
            <v>43139</v>
          </cell>
          <cell r="F747" t="str">
            <v>BUY</v>
          </cell>
          <cell r="H747">
            <v>623.44139650872819</v>
          </cell>
          <cell r="U747">
            <v>0</v>
          </cell>
          <cell r="AD747">
            <v>0</v>
          </cell>
        </row>
        <row r="748">
          <cell r="D748">
            <v>43139</v>
          </cell>
          <cell r="F748" t="str">
            <v>SELL</v>
          </cell>
          <cell r="H748">
            <v>540.54054054054052</v>
          </cell>
          <cell r="U748">
            <v>1059.5391891891923</v>
          </cell>
          <cell r="AD748">
            <v>2</v>
          </cell>
        </row>
        <row r="749">
          <cell r="D749">
            <v>43143</v>
          </cell>
          <cell r="F749" t="str">
            <v>SELL</v>
          </cell>
          <cell r="H749">
            <v>535.9056806002144</v>
          </cell>
          <cell r="U749">
            <v>884.80173633439699</v>
          </cell>
          <cell r="AD749">
            <v>2</v>
          </cell>
        </row>
        <row r="750">
          <cell r="D750">
            <v>43144</v>
          </cell>
          <cell r="F750" t="str">
            <v>BUY</v>
          </cell>
          <cell r="H750">
            <v>6134.9693251533745</v>
          </cell>
          <cell r="U750">
            <v>0</v>
          </cell>
          <cell r="AD750">
            <v>0</v>
          </cell>
        </row>
        <row r="751">
          <cell r="D751">
            <v>43144</v>
          </cell>
          <cell r="F751" t="str">
            <v>SELL</v>
          </cell>
          <cell r="H751">
            <v>1579.7788309636651</v>
          </cell>
          <cell r="U751">
            <v>147.16240126382763</v>
          </cell>
          <cell r="AD751">
            <v>2</v>
          </cell>
        </row>
        <row r="752">
          <cell r="D752">
            <v>43145</v>
          </cell>
          <cell r="F752" t="str">
            <v>BUY</v>
          </cell>
          <cell r="H752">
            <v>4347.826086956522</v>
          </cell>
          <cell r="U752">
            <v>0</v>
          </cell>
          <cell r="AD752">
            <v>0</v>
          </cell>
        </row>
        <row r="753">
          <cell r="D753">
            <v>43146</v>
          </cell>
          <cell r="F753" t="str">
            <v>BUY</v>
          </cell>
          <cell r="H753">
            <v>9900.9900990099013</v>
          </cell>
          <cell r="U753">
            <v>0</v>
          </cell>
          <cell r="AD753">
            <v>0</v>
          </cell>
        </row>
        <row r="754">
          <cell r="D754">
            <v>43146</v>
          </cell>
          <cell r="F754" t="str">
            <v>SELL</v>
          </cell>
          <cell r="H754">
            <v>16949.152542372882</v>
          </cell>
          <cell r="U754">
            <v>-622.92457627118347</v>
          </cell>
          <cell r="AD754">
            <v>1</v>
          </cell>
        </row>
        <row r="755">
          <cell r="D755">
            <v>43151</v>
          </cell>
          <cell r="F755" t="str">
            <v>BUY</v>
          </cell>
          <cell r="H755">
            <v>2967.3590504451035</v>
          </cell>
          <cell r="U755">
            <v>0</v>
          </cell>
          <cell r="AD755">
            <v>0</v>
          </cell>
        </row>
        <row r="756">
          <cell r="D756">
            <v>43151</v>
          </cell>
          <cell r="F756" t="str">
            <v>SELL</v>
          </cell>
          <cell r="H756">
            <v>1908.3969465648854</v>
          </cell>
          <cell r="U756">
            <v>656.43274809159448</v>
          </cell>
          <cell r="AD756">
            <v>2</v>
          </cell>
        </row>
        <row r="757">
          <cell r="D757">
            <v>43152</v>
          </cell>
          <cell r="F757" t="str">
            <v>SELL</v>
          </cell>
          <cell r="H757">
            <v>5.7471264367816088</v>
          </cell>
          <cell r="U757">
            <v>-1075.8772413793104</v>
          </cell>
          <cell r="AD757">
            <v>1</v>
          </cell>
        </row>
        <row r="758">
          <cell r="D758">
            <v>43152</v>
          </cell>
          <cell r="F758" t="str">
            <v>SELL</v>
          </cell>
          <cell r="H758">
            <v>623.44139650872819</v>
          </cell>
          <cell r="U758">
            <v>165.21304239401616</v>
          </cell>
          <cell r="AD758">
            <v>2</v>
          </cell>
        </row>
        <row r="759">
          <cell r="D759">
            <v>43153</v>
          </cell>
          <cell r="F759" t="str">
            <v>BUY</v>
          </cell>
          <cell r="H759">
            <v>602.40963855421683</v>
          </cell>
          <cell r="U759">
            <v>0</v>
          </cell>
          <cell r="AD759">
            <v>0</v>
          </cell>
        </row>
        <row r="760">
          <cell r="D760">
            <v>43153</v>
          </cell>
          <cell r="F760" t="str">
            <v>SELL</v>
          </cell>
          <cell r="H760">
            <v>2967.3590504451035</v>
          </cell>
          <cell r="U760">
            <v>-442.47949554896877</v>
          </cell>
          <cell r="AD760">
            <v>1</v>
          </cell>
        </row>
        <row r="761">
          <cell r="D761">
            <v>43154</v>
          </cell>
          <cell r="F761" t="str">
            <v>SELL</v>
          </cell>
          <cell r="H761">
            <v>6134.9693251533745</v>
          </cell>
          <cell r="U761">
            <v>306.60785276073329</v>
          </cell>
          <cell r="AD761">
            <v>2</v>
          </cell>
        </row>
        <row r="762">
          <cell r="D762">
            <v>43157</v>
          </cell>
          <cell r="F762" t="str">
            <v>BUY</v>
          </cell>
          <cell r="H762">
            <v>261.78010471204186</v>
          </cell>
          <cell r="U762">
            <v>0</v>
          </cell>
          <cell r="AD762">
            <v>0</v>
          </cell>
        </row>
        <row r="763">
          <cell r="D763">
            <v>43157</v>
          </cell>
          <cell r="F763" t="str">
            <v>BUY</v>
          </cell>
          <cell r="H763">
            <v>34.246575342465754</v>
          </cell>
          <cell r="U763">
            <v>0</v>
          </cell>
          <cell r="AD763">
            <v>0</v>
          </cell>
        </row>
        <row r="764">
          <cell r="D764">
            <v>43158</v>
          </cell>
          <cell r="F764" t="str">
            <v>SELL</v>
          </cell>
          <cell r="H764">
            <v>5555.5555555555557</v>
          </cell>
          <cell r="U764">
            <v>-724.64111111111197</v>
          </cell>
          <cell r="AD764">
            <v>1</v>
          </cell>
        </row>
        <row r="765">
          <cell r="D765">
            <v>43159</v>
          </cell>
          <cell r="F765" t="str">
            <v>BUY</v>
          </cell>
          <cell r="H765">
            <v>7.4074074074074074</v>
          </cell>
          <cell r="U765">
            <v>0</v>
          </cell>
          <cell r="AD765">
            <v>0</v>
          </cell>
        </row>
        <row r="766">
          <cell r="D766">
            <v>43159</v>
          </cell>
          <cell r="F766" t="str">
            <v>BUY</v>
          </cell>
          <cell r="H766">
            <v>29.708853238265</v>
          </cell>
          <cell r="U766">
            <v>0</v>
          </cell>
          <cell r="AD766">
            <v>0</v>
          </cell>
        </row>
        <row r="767">
          <cell r="D767">
            <v>43160</v>
          </cell>
          <cell r="F767" t="str">
            <v>BUY</v>
          </cell>
          <cell r="H767">
            <v>191.57088122605364</v>
          </cell>
          <cell r="U767">
            <v>0</v>
          </cell>
          <cell r="AD767">
            <v>0</v>
          </cell>
        </row>
        <row r="768">
          <cell r="D768">
            <v>43160</v>
          </cell>
          <cell r="F768" t="str">
            <v>SELL</v>
          </cell>
          <cell r="H768">
            <v>9900.9900990099013</v>
          </cell>
          <cell r="U768">
            <v>469.73940594059786</v>
          </cell>
          <cell r="AD768">
            <v>2</v>
          </cell>
        </row>
        <row r="769">
          <cell r="D769">
            <v>43160</v>
          </cell>
          <cell r="F769" t="str">
            <v>SELL</v>
          </cell>
          <cell r="H769">
            <v>1063.8297872340424</v>
          </cell>
          <cell r="U769">
            <v>6628.5806382978462</v>
          </cell>
          <cell r="AD769">
            <v>2</v>
          </cell>
        </row>
        <row r="770">
          <cell r="D770">
            <v>43161</v>
          </cell>
          <cell r="F770" t="str">
            <v>BUY</v>
          </cell>
          <cell r="H770">
            <v>14705.882352941175</v>
          </cell>
          <cell r="U770">
            <v>0</v>
          </cell>
          <cell r="AD770">
            <v>0</v>
          </cell>
        </row>
        <row r="771">
          <cell r="D771">
            <v>43161</v>
          </cell>
          <cell r="F771" t="str">
            <v>SELL</v>
          </cell>
          <cell r="H771">
            <v>4347.826086956522</v>
          </cell>
          <cell r="U771">
            <v>-592.98086956521365</v>
          </cell>
          <cell r="AD771">
            <v>1</v>
          </cell>
        </row>
        <row r="772">
          <cell r="D772">
            <v>43161</v>
          </cell>
          <cell r="F772" t="str">
            <v>SELL</v>
          </cell>
          <cell r="H772">
            <v>425.531914893617</v>
          </cell>
          <cell r="U772">
            <v>1778.7536170212916</v>
          </cell>
          <cell r="AD772">
            <v>2</v>
          </cell>
        </row>
        <row r="773">
          <cell r="D773">
            <v>43161</v>
          </cell>
          <cell r="F773" t="str">
            <v>SELL</v>
          </cell>
          <cell r="H773">
            <v>9259.2592592592591</v>
          </cell>
          <cell r="U773">
            <v>4836.2499999999909</v>
          </cell>
          <cell r="AD773">
            <v>2</v>
          </cell>
        </row>
        <row r="774">
          <cell r="D774">
            <v>43164</v>
          </cell>
          <cell r="F774" t="str">
            <v>SELL</v>
          </cell>
          <cell r="H774">
            <v>14705.882352941175</v>
          </cell>
          <cell r="U774">
            <v>-410.48764705880058</v>
          </cell>
          <cell r="AD774">
            <v>1</v>
          </cell>
        </row>
        <row r="775">
          <cell r="D775">
            <v>43167</v>
          </cell>
          <cell r="F775" t="str">
            <v>BUY</v>
          </cell>
          <cell r="H775">
            <v>9090.9090909090901</v>
          </cell>
          <cell r="U775">
            <v>0</v>
          </cell>
          <cell r="AD775">
            <v>0</v>
          </cell>
        </row>
        <row r="776">
          <cell r="D776">
            <v>43167</v>
          </cell>
          <cell r="F776" t="str">
            <v>SELL</v>
          </cell>
          <cell r="H776">
            <v>34.246575342465754</v>
          </cell>
          <cell r="U776">
            <v>-17.190273972599243</v>
          </cell>
          <cell r="AD776">
            <v>1</v>
          </cell>
        </row>
        <row r="777">
          <cell r="D777">
            <v>43171</v>
          </cell>
          <cell r="F777" t="str">
            <v>BUY</v>
          </cell>
          <cell r="H777">
            <v>1550.3875968992247</v>
          </cell>
          <cell r="U777">
            <v>0</v>
          </cell>
          <cell r="AD777">
            <v>0</v>
          </cell>
        </row>
        <row r="778">
          <cell r="D778">
            <v>43171</v>
          </cell>
          <cell r="F778" t="str">
            <v>BUY</v>
          </cell>
          <cell r="H778">
            <v>3921.5686274509808</v>
          </cell>
          <cell r="U778">
            <v>0</v>
          </cell>
          <cell r="AD778">
            <v>0</v>
          </cell>
        </row>
        <row r="779">
          <cell r="D779">
            <v>43173</v>
          </cell>
          <cell r="F779" t="str">
            <v>SELL</v>
          </cell>
          <cell r="H779">
            <v>27027.027027027027</v>
          </cell>
          <cell r="U779">
            <v>10862.911081081085</v>
          </cell>
          <cell r="AD779">
            <v>2</v>
          </cell>
        </row>
        <row r="780">
          <cell r="D780">
            <v>43175</v>
          </cell>
          <cell r="F780" t="str">
            <v>BUY</v>
          </cell>
          <cell r="H780">
            <v>32.743942370661429</v>
          </cell>
          <cell r="U780">
            <v>0</v>
          </cell>
          <cell r="AD780">
            <v>0</v>
          </cell>
        </row>
        <row r="781">
          <cell r="D781">
            <v>43175</v>
          </cell>
          <cell r="F781" t="str">
            <v>BUY</v>
          </cell>
          <cell r="H781">
            <v>2040.8163265306121</v>
          </cell>
          <cell r="U781">
            <v>0</v>
          </cell>
          <cell r="AD781">
            <v>0</v>
          </cell>
        </row>
        <row r="782">
          <cell r="D782">
            <v>43178</v>
          </cell>
          <cell r="F782" t="str">
            <v>BUY</v>
          </cell>
          <cell r="H782">
            <v>39.370078740157481</v>
          </cell>
          <cell r="U782">
            <v>0</v>
          </cell>
          <cell r="AD782">
            <v>0</v>
          </cell>
        </row>
        <row r="783">
          <cell r="D783">
            <v>43186</v>
          </cell>
          <cell r="F783" t="str">
            <v>SELL</v>
          </cell>
          <cell r="H783">
            <v>2380.9523809523807</v>
          </cell>
          <cell r="U783">
            <v>5780.1009523809571</v>
          </cell>
          <cell r="AD783">
            <v>2</v>
          </cell>
        </row>
        <row r="784">
          <cell r="D784">
            <v>43192</v>
          </cell>
          <cell r="F784" t="str">
            <v>BUY</v>
          </cell>
          <cell r="H784">
            <v>477.32696897374706</v>
          </cell>
          <cell r="U784">
            <v>0</v>
          </cell>
          <cell r="AD784">
            <v>0</v>
          </cell>
        </row>
        <row r="785">
          <cell r="D785">
            <v>43195</v>
          </cell>
          <cell r="F785" t="str">
            <v>SELL</v>
          </cell>
          <cell r="H785">
            <v>3921.5686274509808</v>
          </cell>
          <cell r="U785">
            <v>-391.04980392156722</v>
          </cell>
          <cell r="AD785">
            <v>1</v>
          </cell>
        </row>
        <row r="786">
          <cell r="D786">
            <v>43202</v>
          </cell>
          <cell r="F786" t="str">
            <v>SELL</v>
          </cell>
          <cell r="H786">
            <v>477.32696897374706</v>
          </cell>
          <cell r="U786">
            <v>-24.384606205254386</v>
          </cell>
          <cell r="AD786">
            <v>1</v>
          </cell>
        </row>
        <row r="787">
          <cell r="D787">
            <v>43203</v>
          </cell>
          <cell r="F787" t="str">
            <v>BUY</v>
          </cell>
          <cell r="H787">
            <v>2958.5798816568049</v>
          </cell>
          <cell r="U787">
            <v>0</v>
          </cell>
          <cell r="AD787">
            <v>0</v>
          </cell>
        </row>
        <row r="788">
          <cell r="D788">
            <v>43203</v>
          </cell>
          <cell r="F788" t="str">
            <v>BUY</v>
          </cell>
          <cell r="H788">
            <v>465.11627906976742</v>
          </cell>
          <cell r="U788">
            <v>0</v>
          </cell>
          <cell r="AD788">
            <v>0</v>
          </cell>
        </row>
        <row r="789">
          <cell r="D789">
            <v>43207</v>
          </cell>
          <cell r="F789" t="str">
            <v>SELL</v>
          </cell>
          <cell r="H789">
            <v>20408.163265306124</v>
          </cell>
          <cell r="U789">
            <v>-624.63408163265194</v>
          </cell>
          <cell r="AD789">
            <v>1</v>
          </cell>
        </row>
        <row r="790">
          <cell r="D790">
            <v>43210</v>
          </cell>
          <cell r="F790" t="str">
            <v>BUY</v>
          </cell>
          <cell r="H790">
            <v>251.88916876574305</v>
          </cell>
          <cell r="U790">
            <v>0</v>
          </cell>
          <cell r="AD790">
            <v>0</v>
          </cell>
        </row>
        <row r="791">
          <cell r="D791">
            <v>43214</v>
          </cell>
          <cell r="F791" t="str">
            <v>SELL</v>
          </cell>
          <cell r="H791">
            <v>2958.5798816568049</v>
          </cell>
          <cell r="U791">
            <v>-89.674201183421246</v>
          </cell>
          <cell r="AD791">
            <v>1</v>
          </cell>
        </row>
        <row r="792">
          <cell r="D792">
            <v>43215</v>
          </cell>
          <cell r="F792" t="str">
            <v>BUY</v>
          </cell>
          <cell r="H792">
            <v>3134.7962382445144</v>
          </cell>
          <cell r="U792">
            <v>0</v>
          </cell>
          <cell r="AD792">
            <v>0</v>
          </cell>
        </row>
        <row r="793">
          <cell r="D793">
            <v>43217</v>
          </cell>
          <cell r="F793" t="str">
            <v>BUY</v>
          </cell>
          <cell r="H793">
            <v>641.84852374839534</v>
          </cell>
          <cell r="U793">
            <v>0</v>
          </cell>
          <cell r="AD793">
            <v>0</v>
          </cell>
        </row>
        <row r="794">
          <cell r="D794">
            <v>43217</v>
          </cell>
          <cell r="F794" t="str">
            <v>SELL</v>
          </cell>
          <cell r="H794">
            <v>465.11627906976742</v>
          </cell>
          <cell r="U794">
            <v>641.57186046510651</v>
          </cell>
          <cell r="AD794">
            <v>2</v>
          </cell>
        </row>
        <row r="795">
          <cell r="D795">
            <v>43220</v>
          </cell>
          <cell r="F795" t="str">
            <v>BUY</v>
          </cell>
          <cell r="H795">
            <v>14925.373134328358</v>
          </cell>
          <cell r="U795">
            <v>0</v>
          </cell>
          <cell r="AD795">
            <v>0</v>
          </cell>
        </row>
        <row r="796">
          <cell r="D796">
            <v>43220</v>
          </cell>
          <cell r="F796" t="str">
            <v>SELL</v>
          </cell>
          <cell r="H796">
            <v>3134.7962382445144</v>
          </cell>
          <cell r="U796">
            <v>-305.39777429468086</v>
          </cell>
          <cell r="AD796">
            <v>1</v>
          </cell>
        </row>
        <row r="797">
          <cell r="D797">
            <v>43223</v>
          </cell>
          <cell r="F797" t="str">
            <v>SELL</v>
          </cell>
          <cell r="H797">
            <v>14925.373134328358</v>
          </cell>
          <cell r="U797">
            <v>-119.0000000000291</v>
          </cell>
          <cell r="AD797">
            <v>1</v>
          </cell>
        </row>
        <row r="798">
          <cell r="D798">
            <v>43224</v>
          </cell>
          <cell r="F798" t="str">
            <v>BUY</v>
          </cell>
          <cell r="H798">
            <v>6060.606060606061</v>
          </cell>
          <cell r="U798">
            <v>0</v>
          </cell>
          <cell r="AD798">
            <v>0</v>
          </cell>
        </row>
        <row r="799">
          <cell r="D799">
            <v>43224</v>
          </cell>
          <cell r="F799" t="str">
            <v>SELL</v>
          </cell>
          <cell r="H799">
            <v>9090.9090909090901</v>
          </cell>
          <cell r="U799">
            <v>-299.19818181817936</v>
          </cell>
          <cell r="AD799">
            <v>1</v>
          </cell>
        </row>
        <row r="800">
          <cell r="D800">
            <v>43228</v>
          </cell>
          <cell r="F800" t="str">
            <v>BUY</v>
          </cell>
          <cell r="H800">
            <v>6.0790273556231007</v>
          </cell>
          <cell r="U800">
            <v>0</v>
          </cell>
          <cell r="AD800">
            <v>0</v>
          </cell>
        </row>
        <row r="801">
          <cell r="D801">
            <v>43230</v>
          </cell>
          <cell r="F801" t="str">
            <v>SELL</v>
          </cell>
          <cell r="H801">
            <v>6.0790273556231007</v>
          </cell>
          <cell r="U801">
            <v>152.11623100304314</v>
          </cell>
          <cell r="AD801">
            <v>2</v>
          </cell>
        </row>
        <row r="802">
          <cell r="D802">
            <v>43231</v>
          </cell>
          <cell r="F802" t="str">
            <v>BUY</v>
          </cell>
          <cell r="H802">
            <v>116.27906976744185</v>
          </cell>
          <cell r="U802">
            <v>0</v>
          </cell>
          <cell r="AD802">
            <v>0</v>
          </cell>
        </row>
        <row r="803">
          <cell r="D803">
            <v>43237</v>
          </cell>
          <cell r="F803" t="str">
            <v>SELL</v>
          </cell>
          <cell r="H803">
            <v>822.36842105263156</v>
          </cell>
          <cell r="U803">
            <v>1902.2236842105031</v>
          </cell>
          <cell r="AD803">
            <v>2</v>
          </cell>
        </row>
        <row r="804">
          <cell r="D804">
            <v>43238</v>
          </cell>
          <cell r="F804" t="str">
            <v>SELL</v>
          </cell>
          <cell r="H804">
            <v>6060.606060606061</v>
          </cell>
          <cell r="U804">
            <v>-118.99999999999818</v>
          </cell>
          <cell r="AD804">
            <v>1</v>
          </cell>
        </row>
        <row r="805">
          <cell r="D805">
            <v>43245</v>
          </cell>
          <cell r="F805" t="str">
            <v>SELL</v>
          </cell>
          <cell r="H805">
            <v>2040.8163265306121</v>
          </cell>
          <cell r="U805">
            <v>-503.27510204081773</v>
          </cell>
          <cell r="AD805">
            <v>1</v>
          </cell>
        </row>
        <row r="806">
          <cell r="D806">
            <v>43249</v>
          </cell>
          <cell r="F806" t="str">
            <v>BUY</v>
          </cell>
          <cell r="H806">
            <v>2036.6598778004072</v>
          </cell>
          <cell r="U806">
            <v>0</v>
          </cell>
          <cell r="AD806">
            <v>0</v>
          </cell>
        </row>
        <row r="807">
          <cell r="D807">
            <v>43250</v>
          </cell>
          <cell r="F807" t="str">
            <v>SELL</v>
          </cell>
          <cell r="H807">
            <v>29.708853238265</v>
          </cell>
          <cell r="U807">
            <v>-378.09790849673482</v>
          </cell>
          <cell r="AD807">
            <v>1</v>
          </cell>
        </row>
        <row r="808">
          <cell r="D808">
            <v>43251</v>
          </cell>
          <cell r="F808" t="str">
            <v>BUY</v>
          </cell>
          <cell r="H808">
            <v>1438.8489208633093</v>
          </cell>
          <cell r="U808">
            <v>0</v>
          </cell>
          <cell r="AD808">
            <v>0</v>
          </cell>
        </row>
        <row r="809">
          <cell r="D809">
            <v>43251</v>
          </cell>
          <cell r="F809" t="str">
            <v>BUY</v>
          </cell>
          <cell r="H809">
            <v>2057.6131687242796</v>
          </cell>
          <cell r="U809">
            <v>0</v>
          </cell>
          <cell r="AD809">
            <v>0</v>
          </cell>
        </row>
        <row r="810">
          <cell r="D810">
            <v>43252</v>
          </cell>
          <cell r="F810" t="str">
            <v>BUY</v>
          </cell>
          <cell r="H810">
            <v>29.868578255675029</v>
          </cell>
          <cell r="U810">
            <v>0</v>
          </cell>
          <cell r="AD810">
            <v>0</v>
          </cell>
        </row>
        <row r="811">
          <cell r="D811">
            <v>43257</v>
          </cell>
          <cell r="F811" t="str">
            <v>BUY</v>
          </cell>
          <cell r="H811">
            <v>10000</v>
          </cell>
          <cell r="U811">
            <v>0</v>
          </cell>
          <cell r="AD811">
            <v>0</v>
          </cell>
        </row>
        <row r="812">
          <cell r="D812">
            <v>43257</v>
          </cell>
          <cell r="F812" t="str">
            <v>SELL</v>
          </cell>
          <cell r="H812">
            <v>462.96296296296293</v>
          </cell>
          <cell r="U812">
            <v>-577.81296296296932</v>
          </cell>
          <cell r="AD812">
            <v>1</v>
          </cell>
        </row>
        <row r="813">
          <cell r="D813">
            <v>43264</v>
          </cell>
          <cell r="F813" t="str">
            <v>SELL</v>
          </cell>
          <cell r="H813">
            <v>2036.6598778004072</v>
          </cell>
          <cell r="U813">
            <v>-139.18659877799837</v>
          </cell>
          <cell r="AD813">
            <v>1</v>
          </cell>
        </row>
        <row r="814">
          <cell r="D814">
            <v>43265</v>
          </cell>
          <cell r="F814" t="str">
            <v>BUY</v>
          </cell>
          <cell r="H814">
            <v>5.9523809523809526</v>
          </cell>
          <cell r="U814">
            <v>0</v>
          </cell>
          <cell r="AD814">
            <v>0</v>
          </cell>
        </row>
        <row r="815">
          <cell r="D815">
            <v>43273</v>
          </cell>
          <cell r="F815" t="str">
            <v>SELL</v>
          </cell>
          <cell r="H815">
            <v>10000</v>
          </cell>
          <cell r="U815">
            <v>2556.8300000000036</v>
          </cell>
          <cell r="AD815">
            <v>2</v>
          </cell>
        </row>
        <row r="816">
          <cell r="D816">
            <v>43286</v>
          </cell>
          <cell r="F816" t="str">
            <v>BUY</v>
          </cell>
          <cell r="H816">
            <v>13888.888888888889</v>
          </cell>
          <cell r="U816">
            <v>0</v>
          </cell>
          <cell r="AD816">
            <v>0</v>
          </cell>
        </row>
        <row r="817">
          <cell r="D817">
            <v>43286</v>
          </cell>
          <cell r="F817" t="str">
            <v>SELL</v>
          </cell>
          <cell r="H817">
            <v>29.868578255675029</v>
          </cell>
          <cell r="U817">
            <v>330.93238948626458</v>
          </cell>
          <cell r="AD817">
            <v>2</v>
          </cell>
        </row>
        <row r="818">
          <cell r="D818">
            <v>43287</v>
          </cell>
          <cell r="F818" t="str">
            <v>SELL</v>
          </cell>
          <cell r="H818">
            <v>13888.888888888889</v>
          </cell>
          <cell r="U818">
            <v>-394.29777777777963</v>
          </cell>
          <cell r="AD818">
            <v>1</v>
          </cell>
        </row>
        <row r="819">
          <cell r="D819">
            <v>43293</v>
          </cell>
          <cell r="F819" t="str">
            <v>BUY</v>
          </cell>
          <cell r="H819">
            <v>1992.0318725099603</v>
          </cell>
          <cell r="U819">
            <v>0</v>
          </cell>
          <cell r="AD819">
            <v>0</v>
          </cell>
        </row>
        <row r="820">
          <cell r="D820">
            <v>43293</v>
          </cell>
          <cell r="F820" t="str">
            <v>BUY</v>
          </cell>
          <cell r="H820">
            <v>13888.888888888889</v>
          </cell>
          <cell r="U820">
            <v>0</v>
          </cell>
          <cell r="AD820">
            <v>0</v>
          </cell>
        </row>
        <row r="821">
          <cell r="D821">
            <v>43294</v>
          </cell>
          <cell r="F821" t="str">
            <v>BUY</v>
          </cell>
          <cell r="H821">
            <v>5747.1264367816093</v>
          </cell>
          <cell r="U821">
            <v>0</v>
          </cell>
          <cell r="AD821">
            <v>0</v>
          </cell>
        </row>
        <row r="822">
          <cell r="D822">
            <v>43294</v>
          </cell>
          <cell r="F822" t="str">
            <v>SELL</v>
          </cell>
          <cell r="H822">
            <v>1992.0318725099603</v>
          </cell>
          <cell r="U822">
            <v>-257.19223107569815</v>
          </cell>
          <cell r="AD822">
            <v>1</v>
          </cell>
        </row>
        <row r="823">
          <cell r="D823">
            <v>43301</v>
          </cell>
          <cell r="F823" t="str">
            <v>SELL</v>
          </cell>
          <cell r="H823">
            <v>39.370078740157481</v>
          </cell>
          <cell r="U823">
            <v>-1968.4317322834668</v>
          </cell>
          <cell r="AD823">
            <v>1</v>
          </cell>
        </row>
        <row r="824">
          <cell r="D824">
            <v>43304</v>
          </cell>
          <cell r="F824" t="str">
            <v>BUY</v>
          </cell>
          <cell r="H824">
            <v>3048.7804878048782</v>
          </cell>
          <cell r="U824">
            <v>0</v>
          </cell>
          <cell r="AD824">
            <v>0</v>
          </cell>
        </row>
        <row r="825">
          <cell r="D825">
            <v>43307</v>
          </cell>
          <cell r="F825" t="str">
            <v>BUY</v>
          </cell>
          <cell r="H825">
            <v>266.66666666666669</v>
          </cell>
          <cell r="U825">
            <v>0</v>
          </cell>
          <cell r="AD825">
            <v>0</v>
          </cell>
        </row>
        <row r="826">
          <cell r="D826">
            <v>43307</v>
          </cell>
          <cell r="F826" t="str">
            <v>SELL</v>
          </cell>
          <cell r="H826">
            <v>261.78010471204186</v>
          </cell>
          <cell r="U826">
            <v>-1753.464659685862</v>
          </cell>
          <cell r="AD826">
            <v>1</v>
          </cell>
        </row>
        <row r="827">
          <cell r="D827">
            <v>43308</v>
          </cell>
          <cell r="F827" t="str">
            <v>SELL</v>
          </cell>
          <cell r="H827">
            <v>3048.7804878048782</v>
          </cell>
          <cell r="U827">
            <v>-511.79146341463274</v>
          </cell>
          <cell r="AD827">
            <v>1</v>
          </cell>
        </row>
        <row r="828">
          <cell r="D828">
            <v>43311</v>
          </cell>
          <cell r="F828" t="str">
            <v>BUY</v>
          </cell>
          <cell r="H828">
            <v>500</v>
          </cell>
          <cell r="U828">
            <v>0</v>
          </cell>
          <cell r="AD828">
            <v>0</v>
          </cell>
        </row>
        <row r="829">
          <cell r="D829">
            <v>43311</v>
          </cell>
          <cell r="F829" t="str">
            <v>BUY</v>
          </cell>
          <cell r="H829">
            <v>72.25433526011561</v>
          </cell>
          <cell r="U829">
            <v>0</v>
          </cell>
          <cell r="AD829">
            <v>0</v>
          </cell>
        </row>
        <row r="830">
          <cell r="D830">
            <v>43311</v>
          </cell>
          <cell r="F830" t="str">
            <v>SELL</v>
          </cell>
          <cell r="H830">
            <v>602.40963855421683</v>
          </cell>
          <cell r="U830">
            <v>-2113.0781927710905</v>
          </cell>
          <cell r="AD830">
            <v>1</v>
          </cell>
        </row>
        <row r="831">
          <cell r="D831">
            <v>43315</v>
          </cell>
          <cell r="F831" t="str">
            <v>SELL</v>
          </cell>
          <cell r="H831">
            <v>204.70829068577277</v>
          </cell>
          <cell r="U831">
            <v>-4579.1169805527134</v>
          </cell>
          <cell r="AD831">
            <v>1</v>
          </cell>
        </row>
        <row r="832">
          <cell r="D832">
            <v>43318</v>
          </cell>
          <cell r="F832" t="str">
            <v>BUY</v>
          </cell>
          <cell r="H832">
            <v>1298.7012987012986</v>
          </cell>
          <cell r="U832">
            <v>0</v>
          </cell>
          <cell r="AD832">
            <v>0</v>
          </cell>
        </row>
        <row r="833">
          <cell r="D833">
            <v>43318</v>
          </cell>
          <cell r="F833" t="str">
            <v>SELL</v>
          </cell>
          <cell r="H833">
            <v>5.9523809523809526</v>
          </cell>
          <cell r="U833">
            <v>588.88571428571049</v>
          </cell>
          <cell r="AD833">
            <v>2</v>
          </cell>
        </row>
        <row r="834">
          <cell r="D834">
            <v>43319</v>
          </cell>
          <cell r="F834" t="str">
            <v>BUY</v>
          </cell>
          <cell r="H834">
            <v>1937.984496124031</v>
          </cell>
          <cell r="U834">
            <v>0</v>
          </cell>
          <cell r="AD834">
            <v>0</v>
          </cell>
        </row>
        <row r="835">
          <cell r="D835">
            <v>43319</v>
          </cell>
          <cell r="F835" t="str">
            <v>BUY</v>
          </cell>
          <cell r="H835">
            <v>10204.081632653062</v>
          </cell>
          <cell r="U835">
            <v>0</v>
          </cell>
          <cell r="AD835">
            <v>0</v>
          </cell>
        </row>
        <row r="836">
          <cell r="D836">
            <v>43319</v>
          </cell>
          <cell r="F836" t="str">
            <v>SELL</v>
          </cell>
          <cell r="H836">
            <v>679.3478260869565</v>
          </cell>
          <cell r="U836">
            <v>-2071.4686956521882</v>
          </cell>
          <cell r="AD836">
            <v>1</v>
          </cell>
        </row>
        <row r="837">
          <cell r="D837">
            <v>43320</v>
          </cell>
          <cell r="F837" t="str">
            <v>BUY</v>
          </cell>
          <cell r="H837">
            <v>2832.8611898016998</v>
          </cell>
          <cell r="U837">
            <v>0</v>
          </cell>
          <cell r="AD837">
            <v>0</v>
          </cell>
        </row>
        <row r="838">
          <cell r="D838">
            <v>43320</v>
          </cell>
          <cell r="F838" t="str">
            <v>SELL</v>
          </cell>
          <cell r="H838">
            <v>1937.984496124031</v>
          </cell>
          <cell r="U838">
            <v>-272.63875968992761</v>
          </cell>
          <cell r="AD838">
            <v>1</v>
          </cell>
        </row>
        <row r="839">
          <cell r="D839">
            <v>43325</v>
          </cell>
          <cell r="F839" t="str">
            <v>SELL</v>
          </cell>
          <cell r="H839">
            <v>1550.3875968992247</v>
          </cell>
          <cell r="U839">
            <v>-2825.3021705426281</v>
          </cell>
          <cell r="AD839">
            <v>1</v>
          </cell>
        </row>
        <row r="840">
          <cell r="D840">
            <v>43325</v>
          </cell>
          <cell r="F840" t="str">
            <v>SELL</v>
          </cell>
          <cell r="H840">
            <v>609.75609756097572</v>
          </cell>
          <cell r="U840">
            <v>-2658.6156097560915</v>
          </cell>
          <cell r="AD840">
            <v>1</v>
          </cell>
        </row>
        <row r="841">
          <cell r="D841">
            <v>43325</v>
          </cell>
          <cell r="F841" t="str">
            <v>SELL</v>
          </cell>
          <cell r="H841">
            <v>116.27906976744185</v>
          </cell>
          <cell r="U841">
            <v>-1271.3706976744234</v>
          </cell>
          <cell r="AD841">
            <v>1</v>
          </cell>
        </row>
        <row r="842">
          <cell r="D842">
            <v>43325</v>
          </cell>
          <cell r="F842" t="str">
            <v>SELL</v>
          </cell>
          <cell r="H842">
            <v>2832.8611898016998</v>
          </cell>
          <cell r="U842">
            <v>-652.42362606232382</v>
          </cell>
          <cell r="AD842">
            <v>1</v>
          </cell>
        </row>
        <row r="843">
          <cell r="D843">
            <v>43326</v>
          </cell>
          <cell r="F843" t="str">
            <v>SELL</v>
          </cell>
          <cell r="H843">
            <v>1234.5679012345679</v>
          </cell>
          <cell r="U843">
            <v>-4812.7150617283914</v>
          </cell>
          <cell r="AD843">
            <v>1</v>
          </cell>
        </row>
        <row r="844">
          <cell r="D844">
            <v>43326</v>
          </cell>
          <cell r="F844" t="str">
            <v>SELL</v>
          </cell>
          <cell r="H844">
            <v>2057.6131687242796</v>
          </cell>
          <cell r="U844">
            <v>-139.39613168724463</v>
          </cell>
          <cell r="AD844">
            <v>1</v>
          </cell>
        </row>
        <row r="845">
          <cell r="D845">
            <v>43326</v>
          </cell>
          <cell r="F845" t="str">
            <v>SELL</v>
          </cell>
          <cell r="H845">
            <v>1298.7012987012986</v>
          </cell>
          <cell r="U845">
            <v>-28.910909090911446</v>
          </cell>
          <cell r="AD845">
            <v>1</v>
          </cell>
        </row>
        <row r="846">
          <cell r="D846">
            <v>43326</v>
          </cell>
          <cell r="F846" t="str">
            <v>SELL</v>
          </cell>
          <cell r="H846">
            <v>10204.081632653062</v>
          </cell>
          <cell r="U846">
            <v>83.261632653066044</v>
          </cell>
          <cell r="AD846">
            <v>2</v>
          </cell>
        </row>
        <row r="847">
          <cell r="D847">
            <v>43326</v>
          </cell>
          <cell r="F847" t="str">
            <v>SELL</v>
          </cell>
          <cell r="H847">
            <v>500</v>
          </cell>
          <cell r="U847">
            <v>128.75000000000364</v>
          </cell>
          <cell r="AD847">
            <v>2</v>
          </cell>
        </row>
        <row r="848">
          <cell r="D848">
            <v>43327</v>
          </cell>
          <cell r="F848" t="str">
            <v>BUY</v>
          </cell>
          <cell r="H848">
            <v>9708.7378640776697</v>
          </cell>
          <cell r="U848">
            <v>0</v>
          </cell>
          <cell r="AD848">
            <v>0</v>
          </cell>
        </row>
        <row r="849">
          <cell r="D849">
            <v>43327</v>
          </cell>
          <cell r="F849" t="str">
            <v>SELL</v>
          </cell>
          <cell r="H849">
            <v>13888.888888888889</v>
          </cell>
          <cell r="U849">
            <v>8277.4022222222229</v>
          </cell>
          <cell r="AD849">
            <v>2</v>
          </cell>
        </row>
        <row r="850">
          <cell r="D850">
            <v>43328</v>
          </cell>
          <cell r="F850" t="str">
            <v>BUY</v>
          </cell>
          <cell r="H850">
            <v>2487.5621890547268</v>
          </cell>
          <cell r="U850">
            <v>0</v>
          </cell>
          <cell r="AD850">
            <v>0</v>
          </cell>
        </row>
        <row r="851">
          <cell r="D851">
            <v>43328</v>
          </cell>
          <cell r="F851" t="str">
            <v>BUY</v>
          </cell>
          <cell r="H851">
            <v>5.0761421319796955</v>
          </cell>
          <cell r="U851">
            <v>0</v>
          </cell>
          <cell r="AD851">
            <v>0</v>
          </cell>
        </row>
        <row r="852">
          <cell r="D852">
            <v>43328</v>
          </cell>
          <cell r="F852" t="str">
            <v>SELL</v>
          </cell>
          <cell r="H852">
            <v>9708.7378640776697</v>
          </cell>
          <cell r="U852">
            <v>-311.42475728155114</v>
          </cell>
          <cell r="AD852">
            <v>1</v>
          </cell>
        </row>
        <row r="853">
          <cell r="D853">
            <v>43329</v>
          </cell>
          <cell r="F853" t="str">
            <v>BUY</v>
          </cell>
          <cell r="H853">
            <v>3448.2758620689656</v>
          </cell>
          <cell r="U853">
            <v>0</v>
          </cell>
          <cell r="AD853">
            <v>0</v>
          </cell>
        </row>
        <row r="854">
          <cell r="D854">
            <v>43332</v>
          </cell>
          <cell r="F854" t="str">
            <v>SELL</v>
          </cell>
          <cell r="H854">
            <v>3448.2758620689656</v>
          </cell>
          <cell r="U854">
            <v>-597.42862068966497</v>
          </cell>
          <cell r="AD854">
            <v>1</v>
          </cell>
        </row>
        <row r="855">
          <cell r="D855">
            <v>43334</v>
          </cell>
          <cell r="F855" t="str">
            <v>BUY</v>
          </cell>
          <cell r="H855">
            <v>71.942446043165461</v>
          </cell>
          <cell r="U855">
            <v>0</v>
          </cell>
          <cell r="AD855">
            <v>0</v>
          </cell>
        </row>
        <row r="856">
          <cell r="D856">
            <v>43334</v>
          </cell>
          <cell r="F856" t="str">
            <v>SELL</v>
          </cell>
          <cell r="H856">
            <v>2487.5621890547268</v>
          </cell>
          <cell r="U856">
            <v>-69.678756218900162</v>
          </cell>
          <cell r="AD856">
            <v>1</v>
          </cell>
        </row>
        <row r="857">
          <cell r="D857">
            <v>43336</v>
          </cell>
          <cell r="F857" t="str">
            <v>BUY</v>
          </cell>
          <cell r="H857">
            <v>2247.1910112359551</v>
          </cell>
          <cell r="U857">
            <v>0</v>
          </cell>
          <cell r="AD857">
            <v>0</v>
          </cell>
        </row>
        <row r="858">
          <cell r="D858">
            <v>43336</v>
          </cell>
          <cell r="F858" t="str">
            <v>SELL</v>
          </cell>
          <cell r="H858">
            <v>5.0761421319796955</v>
          </cell>
          <cell r="U858">
            <v>21.861979695435366</v>
          </cell>
          <cell r="AD858">
            <v>2</v>
          </cell>
        </row>
        <row r="859">
          <cell r="D859">
            <v>43340</v>
          </cell>
          <cell r="F859" t="str">
            <v>BUY</v>
          </cell>
          <cell r="H859">
            <v>1886.7924528301887</v>
          </cell>
          <cell r="U859">
            <v>0</v>
          </cell>
          <cell r="AD859">
            <v>0</v>
          </cell>
        </row>
        <row r="860">
          <cell r="D860">
            <v>43340</v>
          </cell>
          <cell r="F860" t="str">
            <v>BUY</v>
          </cell>
          <cell r="H860">
            <v>477.32696897374706</v>
          </cell>
          <cell r="U860">
            <v>0</v>
          </cell>
          <cell r="AD860">
            <v>0</v>
          </cell>
        </row>
        <row r="861">
          <cell r="D861">
            <v>43340</v>
          </cell>
          <cell r="F861" t="str">
            <v>BUY</v>
          </cell>
          <cell r="H861">
            <v>26.315789473684209</v>
          </cell>
          <cell r="U861">
            <v>0</v>
          </cell>
          <cell r="AD861">
            <v>0</v>
          </cell>
        </row>
        <row r="862">
          <cell r="D862">
            <v>43340</v>
          </cell>
          <cell r="F862" t="str">
            <v>BUY</v>
          </cell>
          <cell r="H862">
            <v>172.56255392579808</v>
          </cell>
          <cell r="U862">
            <v>0</v>
          </cell>
          <cell r="AD862">
            <v>0</v>
          </cell>
        </row>
        <row r="863">
          <cell r="D863">
            <v>43342</v>
          </cell>
          <cell r="F863" t="str">
            <v>BUY</v>
          </cell>
          <cell r="H863">
            <v>746.26865671641792</v>
          </cell>
          <cell r="U863">
            <v>0</v>
          </cell>
          <cell r="AD863">
            <v>0</v>
          </cell>
        </row>
        <row r="864">
          <cell r="D864">
            <v>43342</v>
          </cell>
          <cell r="F864" t="str">
            <v>BUY</v>
          </cell>
          <cell r="H864">
            <v>1941.7475728155339</v>
          </cell>
          <cell r="U864">
            <v>0</v>
          </cell>
          <cell r="AD864">
            <v>0</v>
          </cell>
        </row>
        <row r="865">
          <cell r="D865">
            <v>43343</v>
          </cell>
          <cell r="F865" t="str">
            <v>BUY</v>
          </cell>
          <cell r="H865">
            <v>781.25</v>
          </cell>
          <cell r="U865">
            <v>0</v>
          </cell>
          <cell r="AD865">
            <v>0</v>
          </cell>
        </row>
        <row r="866">
          <cell r="D866">
            <v>43343</v>
          </cell>
          <cell r="F866" t="str">
            <v>BUY</v>
          </cell>
          <cell r="H866">
            <v>14925.373134328358</v>
          </cell>
          <cell r="U866">
            <v>0</v>
          </cell>
          <cell r="AD866">
            <v>0</v>
          </cell>
        </row>
        <row r="867">
          <cell r="D867">
            <v>43346</v>
          </cell>
          <cell r="F867" t="str">
            <v>BUY</v>
          </cell>
          <cell r="H867">
            <v>671.14093959731542</v>
          </cell>
          <cell r="U867">
            <v>0</v>
          </cell>
          <cell r="AD867">
            <v>0</v>
          </cell>
        </row>
        <row r="868">
          <cell r="D868">
            <v>43346</v>
          </cell>
          <cell r="F868" t="str">
            <v>SELL</v>
          </cell>
          <cell r="H868">
            <v>266.66666666666669</v>
          </cell>
          <cell r="U868">
            <v>158.49999999999636</v>
          </cell>
          <cell r="AD868">
            <v>2</v>
          </cell>
        </row>
        <row r="869">
          <cell r="D869">
            <v>43346</v>
          </cell>
          <cell r="F869" t="str">
            <v>SELL</v>
          </cell>
          <cell r="H869">
            <v>641.84852374839534</v>
          </cell>
          <cell r="U869">
            <v>211.78123234916711</v>
          </cell>
          <cell r="AD869">
            <v>2</v>
          </cell>
        </row>
        <row r="870">
          <cell r="D870">
            <v>43347</v>
          </cell>
          <cell r="F870" t="str">
            <v>SELL</v>
          </cell>
          <cell r="H870">
            <v>671.14093959731542</v>
          </cell>
          <cell r="U870">
            <v>-291.92664429529941</v>
          </cell>
          <cell r="AD870">
            <v>1</v>
          </cell>
        </row>
        <row r="871">
          <cell r="D871">
            <v>43348</v>
          </cell>
          <cell r="F871" t="str">
            <v>SELL</v>
          </cell>
          <cell r="H871">
            <v>1886.7924528301887</v>
          </cell>
          <cell r="U871">
            <v>-212.48962264151487</v>
          </cell>
          <cell r="AD871">
            <v>1</v>
          </cell>
        </row>
        <row r="872">
          <cell r="D872">
            <v>43348</v>
          </cell>
          <cell r="F872" t="str">
            <v>SELL</v>
          </cell>
          <cell r="H872">
            <v>172.56255392579808</v>
          </cell>
          <cell r="U872">
            <v>-110.44187230371244</v>
          </cell>
          <cell r="AD872">
            <v>1</v>
          </cell>
        </row>
        <row r="873">
          <cell r="D873">
            <v>43348</v>
          </cell>
          <cell r="F873" t="str">
            <v>SELL</v>
          </cell>
          <cell r="H873">
            <v>71.942446043165461</v>
          </cell>
          <cell r="U873">
            <v>94.907338129496566</v>
          </cell>
          <cell r="AD873">
            <v>2</v>
          </cell>
        </row>
        <row r="874">
          <cell r="D874">
            <v>43349</v>
          </cell>
          <cell r="F874" t="str">
            <v>SELL</v>
          </cell>
          <cell r="H874">
            <v>781.25</v>
          </cell>
          <cell r="U874">
            <v>-614.52999999999338</v>
          </cell>
          <cell r="AD874">
            <v>1</v>
          </cell>
        </row>
        <row r="875">
          <cell r="D875">
            <v>43349</v>
          </cell>
          <cell r="F875" t="str">
            <v>SELL</v>
          </cell>
          <cell r="H875">
            <v>477.32696897374706</v>
          </cell>
          <cell r="U875">
            <v>-118.99999999999818</v>
          </cell>
          <cell r="AD875">
            <v>1</v>
          </cell>
        </row>
        <row r="876">
          <cell r="D876">
            <v>43350</v>
          </cell>
          <cell r="F876" t="str">
            <v>BUY</v>
          </cell>
          <cell r="H876">
            <v>4.752851711026616</v>
          </cell>
          <cell r="U876">
            <v>0</v>
          </cell>
          <cell r="AD876">
            <v>0</v>
          </cell>
        </row>
        <row r="877">
          <cell r="D877">
            <v>43350</v>
          </cell>
          <cell r="F877" t="str">
            <v>BUY</v>
          </cell>
          <cell r="H877">
            <v>69.013112491373363</v>
          </cell>
          <cell r="U877">
            <v>0</v>
          </cell>
          <cell r="AD877">
            <v>0</v>
          </cell>
        </row>
        <row r="878">
          <cell r="U878">
            <v>0</v>
          </cell>
          <cell r="AD878">
            <v>0</v>
          </cell>
        </row>
        <row r="879">
          <cell r="U879">
            <v>0</v>
          </cell>
          <cell r="AD879">
            <v>0</v>
          </cell>
        </row>
        <row r="880">
          <cell r="U880">
            <v>0</v>
          </cell>
          <cell r="AD880">
            <v>0</v>
          </cell>
        </row>
        <row r="881">
          <cell r="U881">
            <v>0</v>
          </cell>
          <cell r="AD881">
            <v>0</v>
          </cell>
        </row>
        <row r="882">
          <cell r="U882">
            <v>0</v>
          </cell>
          <cell r="AD882">
            <v>0</v>
          </cell>
        </row>
        <row r="883">
          <cell r="U883">
            <v>0</v>
          </cell>
          <cell r="AD883">
            <v>0</v>
          </cell>
        </row>
        <row r="884">
          <cell r="U884">
            <v>0</v>
          </cell>
          <cell r="AD884">
            <v>0</v>
          </cell>
        </row>
        <row r="885">
          <cell r="U885">
            <v>0</v>
          </cell>
          <cell r="AD885">
            <v>0</v>
          </cell>
        </row>
        <row r="886">
          <cell r="U886">
            <v>0</v>
          </cell>
          <cell r="AD886">
            <v>0</v>
          </cell>
        </row>
        <row r="887">
          <cell r="U887">
            <v>0</v>
          </cell>
          <cell r="AD887">
            <v>0</v>
          </cell>
        </row>
        <row r="888">
          <cell r="U888">
            <v>0</v>
          </cell>
          <cell r="AD888">
            <v>0</v>
          </cell>
        </row>
        <row r="889">
          <cell r="U889">
            <v>0</v>
          </cell>
          <cell r="AD889">
            <v>0</v>
          </cell>
        </row>
        <row r="890">
          <cell r="U890">
            <v>0</v>
          </cell>
          <cell r="AD890">
            <v>0</v>
          </cell>
        </row>
        <row r="891">
          <cell r="U891">
            <v>0</v>
          </cell>
          <cell r="AD891">
            <v>0</v>
          </cell>
        </row>
        <row r="892">
          <cell r="U892">
            <v>0</v>
          </cell>
          <cell r="AD892">
            <v>0</v>
          </cell>
        </row>
        <row r="893">
          <cell r="U893">
            <v>0</v>
          </cell>
          <cell r="AD893">
            <v>0</v>
          </cell>
        </row>
        <row r="894">
          <cell r="U894">
            <v>0</v>
          </cell>
          <cell r="AD894">
            <v>0</v>
          </cell>
        </row>
        <row r="895">
          <cell r="U895">
            <v>0</v>
          </cell>
          <cell r="AD895">
            <v>0</v>
          </cell>
        </row>
        <row r="896">
          <cell r="U896">
            <v>0</v>
          </cell>
          <cell r="AD896">
            <v>0</v>
          </cell>
        </row>
        <row r="897">
          <cell r="U897">
            <v>0</v>
          </cell>
          <cell r="AD897">
            <v>0</v>
          </cell>
        </row>
        <row r="898">
          <cell r="U898">
            <v>0</v>
          </cell>
          <cell r="AD898">
            <v>0</v>
          </cell>
        </row>
        <row r="899">
          <cell r="U899">
            <v>0</v>
          </cell>
          <cell r="AD899">
            <v>0</v>
          </cell>
        </row>
        <row r="900">
          <cell r="U900">
            <v>0</v>
          </cell>
          <cell r="AD900">
            <v>0</v>
          </cell>
        </row>
        <row r="901">
          <cell r="U901">
            <v>0</v>
          </cell>
          <cell r="AD901">
            <v>0</v>
          </cell>
        </row>
        <row r="902">
          <cell r="U902">
            <v>0</v>
          </cell>
          <cell r="AD902">
            <v>0</v>
          </cell>
        </row>
        <row r="903">
          <cell r="U903">
            <v>0</v>
          </cell>
          <cell r="AD903">
            <v>0</v>
          </cell>
        </row>
        <row r="904">
          <cell r="U904">
            <v>0</v>
          </cell>
          <cell r="AD904">
            <v>0</v>
          </cell>
        </row>
        <row r="905">
          <cell r="U905">
            <v>0</v>
          </cell>
          <cell r="AD905">
            <v>0</v>
          </cell>
        </row>
        <row r="906">
          <cell r="U906">
            <v>0</v>
          </cell>
          <cell r="AD906">
            <v>0</v>
          </cell>
        </row>
        <row r="907">
          <cell r="U907">
            <v>0</v>
          </cell>
          <cell r="AD907">
            <v>0</v>
          </cell>
        </row>
        <row r="908">
          <cell r="U908">
            <v>0</v>
          </cell>
          <cell r="AD908">
            <v>0</v>
          </cell>
        </row>
        <row r="909">
          <cell r="U909">
            <v>0</v>
          </cell>
          <cell r="AD909">
            <v>0</v>
          </cell>
        </row>
        <row r="910">
          <cell r="U910">
            <v>0</v>
          </cell>
          <cell r="AD910">
            <v>0</v>
          </cell>
        </row>
        <row r="911">
          <cell r="U911">
            <v>0</v>
          </cell>
          <cell r="AD911">
            <v>0</v>
          </cell>
        </row>
        <row r="912">
          <cell r="U912">
            <v>0</v>
          </cell>
          <cell r="AD912">
            <v>0</v>
          </cell>
        </row>
        <row r="913">
          <cell r="U913">
            <v>0</v>
          </cell>
          <cell r="AD913">
            <v>0</v>
          </cell>
        </row>
        <row r="914">
          <cell r="U914">
            <v>0</v>
          </cell>
          <cell r="AD914">
            <v>0</v>
          </cell>
        </row>
        <row r="915">
          <cell r="U915">
            <v>0</v>
          </cell>
          <cell r="AD915">
            <v>0</v>
          </cell>
        </row>
        <row r="916">
          <cell r="U916">
            <v>0</v>
          </cell>
          <cell r="AD916">
            <v>0</v>
          </cell>
        </row>
        <row r="917">
          <cell r="U917">
            <v>0</v>
          </cell>
          <cell r="AD917">
            <v>0</v>
          </cell>
        </row>
        <row r="918">
          <cell r="U918">
            <v>0</v>
          </cell>
          <cell r="AD918">
            <v>0</v>
          </cell>
        </row>
        <row r="919">
          <cell r="U919">
            <v>0</v>
          </cell>
          <cell r="AD919">
            <v>0</v>
          </cell>
        </row>
        <row r="920">
          <cell r="U920">
            <v>0</v>
          </cell>
          <cell r="AD920">
            <v>0</v>
          </cell>
        </row>
        <row r="921">
          <cell r="U921">
            <v>0</v>
          </cell>
          <cell r="AD921">
            <v>0</v>
          </cell>
        </row>
        <row r="922">
          <cell r="U922">
            <v>0</v>
          </cell>
          <cell r="AD922">
            <v>0</v>
          </cell>
        </row>
        <row r="923">
          <cell r="U923">
            <v>0</v>
          </cell>
          <cell r="AD923">
            <v>0</v>
          </cell>
        </row>
        <row r="924">
          <cell r="U924">
            <v>0</v>
          </cell>
          <cell r="AD924">
            <v>0</v>
          </cell>
        </row>
        <row r="925">
          <cell r="U925">
            <v>0</v>
          </cell>
          <cell r="AD925">
            <v>0</v>
          </cell>
        </row>
        <row r="926">
          <cell r="U926">
            <v>0</v>
          </cell>
          <cell r="AD926">
            <v>0</v>
          </cell>
        </row>
        <row r="927">
          <cell r="U927">
            <v>0</v>
          </cell>
          <cell r="AD927">
            <v>0</v>
          </cell>
        </row>
        <row r="928">
          <cell r="U928">
            <v>0</v>
          </cell>
          <cell r="AD928">
            <v>0</v>
          </cell>
        </row>
        <row r="929">
          <cell r="U929">
            <v>0</v>
          </cell>
          <cell r="AD929">
            <v>0</v>
          </cell>
        </row>
        <row r="930">
          <cell r="U930">
            <v>0</v>
          </cell>
          <cell r="AD930">
            <v>0</v>
          </cell>
        </row>
        <row r="931">
          <cell r="U931">
            <v>0</v>
          </cell>
          <cell r="AD931">
            <v>0</v>
          </cell>
        </row>
        <row r="932">
          <cell r="U932">
            <v>0</v>
          </cell>
          <cell r="AD932">
            <v>0</v>
          </cell>
        </row>
        <row r="933">
          <cell r="U933">
            <v>0</v>
          </cell>
          <cell r="AD933">
            <v>0</v>
          </cell>
        </row>
        <row r="934">
          <cell r="U934">
            <v>0</v>
          </cell>
          <cell r="AD934">
            <v>0</v>
          </cell>
        </row>
        <row r="935">
          <cell r="U935">
            <v>0</v>
          </cell>
          <cell r="AD935">
            <v>0</v>
          </cell>
        </row>
        <row r="936">
          <cell r="U936">
            <v>0</v>
          </cell>
          <cell r="AD936">
            <v>0</v>
          </cell>
        </row>
        <row r="937">
          <cell r="U937">
            <v>0</v>
          </cell>
          <cell r="AD937">
            <v>0</v>
          </cell>
        </row>
        <row r="938">
          <cell r="U938">
            <v>0</v>
          </cell>
          <cell r="AD938">
            <v>0</v>
          </cell>
        </row>
        <row r="939">
          <cell r="U939">
            <v>0</v>
          </cell>
          <cell r="AD939">
            <v>0</v>
          </cell>
        </row>
        <row r="940">
          <cell r="U940">
            <v>0</v>
          </cell>
          <cell r="AD940">
            <v>0</v>
          </cell>
        </row>
        <row r="941">
          <cell r="U941">
            <v>0</v>
          </cell>
          <cell r="AD941">
            <v>0</v>
          </cell>
        </row>
        <row r="942">
          <cell r="U942">
            <v>0</v>
          </cell>
          <cell r="AD942">
            <v>0</v>
          </cell>
        </row>
        <row r="943">
          <cell r="U943">
            <v>0</v>
          </cell>
          <cell r="AD943">
            <v>0</v>
          </cell>
        </row>
        <row r="944">
          <cell r="U944">
            <v>0</v>
          </cell>
          <cell r="AD944">
            <v>0</v>
          </cell>
        </row>
        <row r="945">
          <cell r="U945">
            <v>0</v>
          </cell>
          <cell r="AD945">
            <v>0</v>
          </cell>
        </row>
        <row r="946">
          <cell r="U946">
            <v>0</v>
          </cell>
          <cell r="AD946">
            <v>0</v>
          </cell>
        </row>
        <row r="947">
          <cell r="U947">
            <v>0</v>
          </cell>
          <cell r="AD947">
            <v>0</v>
          </cell>
        </row>
        <row r="948">
          <cell r="U948">
            <v>0</v>
          </cell>
          <cell r="AD948">
            <v>0</v>
          </cell>
        </row>
        <row r="949">
          <cell r="U949">
            <v>0</v>
          </cell>
          <cell r="AD949">
            <v>0</v>
          </cell>
        </row>
        <row r="950">
          <cell r="U950">
            <v>0</v>
          </cell>
          <cell r="AD950">
            <v>0</v>
          </cell>
        </row>
        <row r="951">
          <cell r="U951">
            <v>0</v>
          </cell>
          <cell r="AD951">
            <v>0</v>
          </cell>
        </row>
        <row r="952">
          <cell r="U952">
            <v>0</v>
          </cell>
          <cell r="AD952">
            <v>0</v>
          </cell>
        </row>
        <row r="953">
          <cell r="U953">
            <v>0</v>
          </cell>
          <cell r="AD953">
            <v>0</v>
          </cell>
        </row>
        <row r="954">
          <cell r="U954">
            <v>0</v>
          </cell>
          <cell r="AD954">
            <v>0</v>
          </cell>
        </row>
        <row r="955">
          <cell r="U955">
            <v>0</v>
          </cell>
          <cell r="AD955">
            <v>0</v>
          </cell>
        </row>
        <row r="956">
          <cell r="U956">
            <v>0</v>
          </cell>
          <cell r="AD956">
            <v>0</v>
          </cell>
        </row>
        <row r="957">
          <cell r="U957">
            <v>0</v>
          </cell>
          <cell r="AD957">
            <v>0</v>
          </cell>
        </row>
        <row r="958">
          <cell r="U958">
            <v>0</v>
          </cell>
          <cell r="AD958">
            <v>0</v>
          </cell>
        </row>
        <row r="959">
          <cell r="U959">
            <v>0</v>
          </cell>
          <cell r="AD959">
            <v>0</v>
          </cell>
        </row>
        <row r="960">
          <cell r="U960">
            <v>0</v>
          </cell>
          <cell r="AD960">
            <v>0</v>
          </cell>
        </row>
        <row r="961">
          <cell r="U961">
            <v>0</v>
          </cell>
          <cell r="AD961">
            <v>0</v>
          </cell>
        </row>
        <row r="962">
          <cell r="U962">
            <v>0</v>
          </cell>
          <cell r="AD962">
            <v>0</v>
          </cell>
        </row>
        <row r="963">
          <cell r="U963">
            <v>0</v>
          </cell>
          <cell r="AD963">
            <v>0</v>
          </cell>
        </row>
        <row r="964">
          <cell r="U964">
            <v>0</v>
          </cell>
          <cell r="AD964">
            <v>0</v>
          </cell>
        </row>
        <row r="965">
          <cell r="U965">
            <v>0</v>
          </cell>
          <cell r="AD965">
            <v>0</v>
          </cell>
        </row>
        <row r="966">
          <cell r="U966">
            <v>0</v>
          </cell>
          <cell r="AD966">
            <v>0</v>
          </cell>
        </row>
        <row r="967">
          <cell r="U967">
            <v>0</v>
          </cell>
          <cell r="AD967">
            <v>0</v>
          </cell>
        </row>
        <row r="968">
          <cell r="U968">
            <v>0</v>
          </cell>
          <cell r="AD968">
            <v>0</v>
          </cell>
        </row>
        <row r="969">
          <cell r="U969">
            <v>0</v>
          </cell>
          <cell r="AD969">
            <v>0</v>
          </cell>
        </row>
        <row r="970">
          <cell r="U970">
            <v>0</v>
          </cell>
          <cell r="AD970">
            <v>0</v>
          </cell>
        </row>
        <row r="971">
          <cell r="U971">
            <v>0</v>
          </cell>
          <cell r="AD971">
            <v>0</v>
          </cell>
        </row>
        <row r="972">
          <cell r="U972">
            <v>0</v>
          </cell>
          <cell r="AD972">
            <v>0</v>
          </cell>
        </row>
        <row r="973">
          <cell r="U973">
            <v>0</v>
          </cell>
          <cell r="AD973">
            <v>0</v>
          </cell>
        </row>
        <row r="974">
          <cell r="U974">
            <v>0</v>
          </cell>
          <cell r="AD974">
            <v>0</v>
          </cell>
        </row>
        <row r="975">
          <cell r="U975">
            <v>0</v>
          </cell>
          <cell r="AD975">
            <v>0</v>
          </cell>
        </row>
        <row r="976">
          <cell r="U976">
            <v>0</v>
          </cell>
          <cell r="AD976">
            <v>0</v>
          </cell>
        </row>
        <row r="977">
          <cell r="U977">
            <v>0</v>
          </cell>
          <cell r="AD977">
            <v>0</v>
          </cell>
        </row>
        <row r="978">
          <cell r="U978">
            <v>0</v>
          </cell>
          <cell r="AD978">
            <v>0</v>
          </cell>
        </row>
        <row r="979">
          <cell r="U979">
            <v>0</v>
          </cell>
          <cell r="AD979">
            <v>0</v>
          </cell>
        </row>
        <row r="980">
          <cell r="U980">
            <v>0</v>
          </cell>
          <cell r="AD980">
            <v>0</v>
          </cell>
        </row>
        <row r="981">
          <cell r="U981">
            <v>0</v>
          </cell>
          <cell r="AD981">
            <v>0</v>
          </cell>
        </row>
        <row r="982">
          <cell r="U982">
            <v>0</v>
          </cell>
          <cell r="AD982">
            <v>0</v>
          </cell>
        </row>
        <row r="983">
          <cell r="U983">
            <v>0</v>
          </cell>
          <cell r="AD983">
            <v>0</v>
          </cell>
        </row>
        <row r="984">
          <cell r="U984">
            <v>0</v>
          </cell>
          <cell r="AD984">
            <v>0</v>
          </cell>
        </row>
        <row r="985">
          <cell r="U985">
            <v>0</v>
          </cell>
          <cell r="AD985">
            <v>0</v>
          </cell>
        </row>
        <row r="986">
          <cell r="U986">
            <v>0</v>
          </cell>
          <cell r="AD986">
            <v>0</v>
          </cell>
        </row>
        <row r="987">
          <cell r="U987">
            <v>0</v>
          </cell>
          <cell r="AD987">
            <v>0</v>
          </cell>
        </row>
        <row r="988">
          <cell r="U988">
            <v>0</v>
          </cell>
          <cell r="AD988">
            <v>0</v>
          </cell>
        </row>
        <row r="989">
          <cell r="U989">
            <v>0</v>
          </cell>
          <cell r="AD989">
            <v>0</v>
          </cell>
        </row>
        <row r="990">
          <cell r="U990">
            <v>0</v>
          </cell>
          <cell r="AD990">
            <v>0</v>
          </cell>
        </row>
        <row r="991">
          <cell r="U991">
            <v>0</v>
          </cell>
          <cell r="AD991">
            <v>0</v>
          </cell>
        </row>
        <row r="992">
          <cell r="U992">
            <v>0</v>
          </cell>
          <cell r="AD992">
            <v>0</v>
          </cell>
        </row>
        <row r="993">
          <cell r="U993">
            <v>0</v>
          </cell>
          <cell r="AD993">
            <v>0</v>
          </cell>
        </row>
        <row r="994">
          <cell r="U994">
            <v>0</v>
          </cell>
          <cell r="AD994">
            <v>0</v>
          </cell>
        </row>
        <row r="995">
          <cell r="U995">
            <v>0</v>
          </cell>
          <cell r="AD995">
            <v>0</v>
          </cell>
        </row>
        <row r="996">
          <cell r="U996">
            <v>0</v>
          </cell>
          <cell r="AD996">
            <v>0</v>
          </cell>
        </row>
        <row r="997">
          <cell r="U997">
            <v>0</v>
          </cell>
          <cell r="AD997">
            <v>0</v>
          </cell>
        </row>
        <row r="998">
          <cell r="U998">
            <v>0</v>
          </cell>
          <cell r="AD998">
            <v>0</v>
          </cell>
        </row>
        <row r="999">
          <cell r="U999">
            <v>0</v>
          </cell>
          <cell r="AD999">
            <v>0</v>
          </cell>
        </row>
        <row r="1000">
          <cell r="U1000">
            <v>0</v>
          </cell>
          <cell r="AD1000">
            <v>0</v>
          </cell>
        </row>
        <row r="1001">
          <cell r="U1001">
            <v>0</v>
          </cell>
          <cell r="AD1001">
            <v>0</v>
          </cell>
        </row>
        <row r="1002">
          <cell r="U1002">
            <v>0</v>
          </cell>
          <cell r="AD1002">
            <v>0</v>
          </cell>
        </row>
        <row r="1003">
          <cell r="U1003">
            <v>0</v>
          </cell>
          <cell r="AD1003">
            <v>0</v>
          </cell>
        </row>
        <row r="1004">
          <cell r="U1004">
            <v>0</v>
          </cell>
          <cell r="AD1004">
            <v>0</v>
          </cell>
        </row>
        <row r="1005">
          <cell r="U1005">
            <v>0</v>
          </cell>
          <cell r="AD1005">
            <v>0</v>
          </cell>
        </row>
        <row r="1006">
          <cell r="U1006">
            <v>0</v>
          </cell>
          <cell r="AD1006">
            <v>0</v>
          </cell>
        </row>
        <row r="1007">
          <cell r="U1007">
            <v>0</v>
          </cell>
          <cell r="AD1007">
            <v>0</v>
          </cell>
        </row>
        <row r="1008">
          <cell r="U1008">
            <v>0</v>
          </cell>
          <cell r="AD1008">
            <v>0</v>
          </cell>
        </row>
        <row r="1009">
          <cell r="U1009">
            <v>0</v>
          </cell>
          <cell r="AD1009">
            <v>0</v>
          </cell>
        </row>
        <row r="1010">
          <cell r="U1010">
            <v>0</v>
          </cell>
          <cell r="AD1010">
            <v>0</v>
          </cell>
        </row>
        <row r="1011">
          <cell r="U1011">
            <v>0</v>
          </cell>
          <cell r="AD1011">
            <v>0</v>
          </cell>
        </row>
        <row r="1012">
          <cell r="U1012">
            <v>0</v>
          </cell>
          <cell r="AD1012">
            <v>0</v>
          </cell>
        </row>
        <row r="1013">
          <cell r="U1013">
            <v>0</v>
          </cell>
          <cell r="AD1013">
            <v>0</v>
          </cell>
        </row>
        <row r="1014">
          <cell r="U1014">
            <v>0</v>
          </cell>
          <cell r="AD1014">
            <v>0</v>
          </cell>
        </row>
      </sheetData>
      <sheetData sheetId="3" refreshError="1"/>
      <sheetData sheetId="4">
        <row r="13">
          <cell r="U13" t="str">
            <v>Bryan Dawi</v>
          </cell>
        </row>
      </sheetData>
      <sheetData sheetId="5">
        <row r="4">
          <cell r="U4">
            <v>43374</v>
          </cell>
        </row>
      </sheetData>
      <sheetData sheetId="6" refreshError="1"/>
      <sheetData sheetId="7" refreshError="1"/>
      <sheetData sheetId="8" refreshError="1"/>
      <sheetData sheetId="9" refreshError="1"/>
      <sheetData sheetId="10" refreshError="1"/>
      <sheetData sheetId="11">
        <row r="6">
          <cell r="AA6">
            <v>169264.93417376088</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1-Trade Log"/>
      <sheetName val="2-Stock Position"/>
      <sheetName val="Sheet1"/>
      <sheetName val="3-Monthly Report"/>
      <sheetName val="4-Bank Transfers"/>
      <sheetName val="5-Dividends"/>
      <sheetName val="6-Trade Plan"/>
      <sheetName val="Watchlist"/>
      <sheetName val="Archive &amp; Settings"/>
      <sheetName val="Update"/>
    </sheetNames>
    <sheetDataSet>
      <sheetData sheetId="0" refreshError="1"/>
      <sheetData sheetId="1" refreshError="1"/>
      <sheetData sheetId="2" refreshError="1">
        <row r="13">
          <cell r="U13" t="str">
            <v>AAES</v>
          </cell>
        </row>
        <row r="14">
          <cell r="U14">
            <v>83185.87</v>
          </cell>
        </row>
        <row r="15">
          <cell r="R15">
            <v>36289.929999999978</v>
          </cell>
        </row>
        <row r="16">
          <cell r="R16">
            <v>15685.289999999979</v>
          </cell>
        </row>
        <row r="17">
          <cell r="R17">
            <v>9231.940000000006</v>
          </cell>
        </row>
        <row r="18">
          <cell r="R18">
            <v>3828.8199999999997</v>
          </cell>
        </row>
        <row r="19">
          <cell r="R19">
            <v>2085.6699999999801</v>
          </cell>
        </row>
        <row r="20">
          <cell r="R20">
            <v>1537.820000000007</v>
          </cell>
        </row>
        <row r="21">
          <cell r="R21">
            <v>1023.8799999999974</v>
          </cell>
        </row>
        <row r="22">
          <cell r="R22">
            <v>873.9600000000064</v>
          </cell>
        </row>
        <row r="23">
          <cell r="R23">
            <v>392.90000000000146</v>
          </cell>
        </row>
        <row r="24">
          <cell r="R24">
            <v>-179.88999999999942</v>
          </cell>
        </row>
        <row r="25">
          <cell r="R25">
            <v>-558.72999999999593</v>
          </cell>
        </row>
        <row r="26">
          <cell r="R26">
            <v>-662.93000000000029</v>
          </cell>
        </row>
        <row r="27">
          <cell r="R27">
            <v>-665.13999999999942</v>
          </cell>
        </row>
        <row r="28">
          <cell r="R28">
            <v>-856.91000000000349</v>
          </cell>
        </row>
        <row r="29">
          <cell r="R29">
            <v>-980.39999999999782</v>
          </cell>
        </row>
        <row r="30">
          <cell r="R30">
            <v>-1059.0199999999968</v>
          </cell>
        </row>
        <row r="31">
          <cell r="R31">
            <v>-1114.0500000000029</v>
          </cell>
        </row>
        <row r="32">
          <cell r="R32">
            <v>-1497.9300000000003</v>
          </cell>
        </row>
        <row r="33">
          <cell r="R33">
            <v>-1795.630000000001</v>
          </cell>
        </row>
        <row r="34">
          <cell r="R34">
            <v>-2827.6608064516113</v>
          </cell>
        </row>
        <row r="35">
          <cell r="R35"/>
        </row>
        <row r="36">
          <cell r="R36"/>
        </row>
        <row r="37">
          <cell r="R37"/>
        </row>
        <row r="38">
          <cell r="R38"/>
        </row>
        <row r="39">
          <cell r="R39"/>
        </row>
        <row r="40">
          <cell r="R40"/>
        </row>
        <row r="41">
          <cell r="R41"/>
        </row>
        <row r="42">
          <cell r="R42"/>
        </row>
        <row r="43">
          <cell r="R43"/>
        </row>
        <row r="44">
          <cell r="R44"/>
        </row>
        <row r="45">
          <cell r="R45"/>
        </row>
        <row r="46">
          <cell r="R46"/>
        </row>
        <row r="47">
          <cell r="R47"/>
        </row>
        <row r="48">
          <cell r="R48"/>
        </row>
        <row r="49">
          <cell r="R49"/>
        </row>
        <row r="50">
          <cell r="R50"/>
        </row>
        <row r="51">
          <cell r="R51"/>
        </row>
        <row r="52">
          <cell r="R52"/>
        </row>
        <row r="53">
          <cell r="R53"/>
        </row>
        <row r="54">
          <cell r="R54"/>
        </row>
        <row r="55">
          <cell r="R55"/>
        </row>
        <row r="56">
          <cell r="R56"/>
        </row>
        <row r="57">
          <cell r="R57"/>
        </row>
        <row r="58">
          <cell r="R58"/>
        </row>
        <row r="59">
          <cell r="R59"/>
        </row>
        <row r="60">
          <cell r="R60"/>
        </row>
        <row r="61">
          <cell r="R61"/>
        </row>
        <row r="62">
          <cell r="R62"/>
        </row>
        <row r="63">
          <cell r="R63"/>
        </row>
        <row r="64">
          <cell r="R64"/>
        </row>
        <row r="65">
          <cell r="R65"/>
        </row>
        <row r="66">
          <cell r="R66"/>
        </row>
        <row r="67">
          <cell r="R67"/>
        </row>
        <row r="68">
          <cell r="R68"/>
        </row>
        <row r="69">
          <cell r="R69"/>
        </row>
        <row r="70">
          <cell r="R70"/>
        </row>
        <row r="71">
          <cell r="R71"/>
        </row>
        <row r="72">
          <cell r="R72"/>
        </row>
        <row r="73">
          <cell r="R73"/>
        </row>
        <row r="74">
          <cell r="R74"/>
        </row>
        <row r="75">
          <cell r="R75"/>
        </row>
        <row r="76">
          <cell r="R76"/>
        </row>
        <row r="77">
          <cell r="R77"/>
        </row>
        <row r="78">
          <cell r="R78"/>
        </row>
        <row r="79">
          <cell r="R79"/>
        </row>
        <row r="80">
          <cell r="R80"/>
        </row>
        <row r="81">
          <cell r="R81"/>
        </row>
        <row r="82">
          <cell r="R82"/>
        </row>
        <row r="83">
          <cell r="R83"/>
        </row>
        <row r="84">
          <cell r="R84"/>
        </row>
        <row r="85">
          <cell r="R85"/>
        </row>
        <row r="86">
          <cell r="R86"/>
        </row>
        <row r="87">
          <cell r="R87"/>
        </row>
        <row r="88">
          <cell r="R88"/>
        </row>
        <row r="89">
          <cell r="R89"/>
        </row>
        <row r="90">
          <cell r="R90"/>
        </row>
        <row r="91">
          <cell r="R91"/>
        </row>
        <row r="92">
          <cell r="R92"/>
        </row>
        <row r="93">
          <cell r="R93"/>
        </row>
        <row r="94">
          <cell r="R94"/>
        </row>
        <row r="95">
          <cell r="R95"/>
        </row>
        <row r="96">
          <cell r="R96"/>
        </row>
        <row r="97">
          <cell r="R97"/>
        </row>
        <row r="98">
          <cell r="R98"/>
        </row>
        <row r="99">
          <cell r="R99"/>
        </row>
        <row r="100">
          <cell r="R100"/>
        </row>
        <row r="101">
          <cell r="R101"/>
        </row>
        <row r="102">
          <cell r="R102"/>
        </row>
        <row r="103">
          <cell r="R103"/>
        </row>
        <row r="104">
          <cell r="R104"/>
        </row>
        <row r="105">
          <cell r="R105"/>
        </row>
        <row r="106">
          <cell r="R106"/>
        </row>
        <row r="107">
          <cell r="R107"/>
        </row>
        <row r="108">
          <cell r="R108"/>
        </row>
        <row r="109">
          <cell r="R109"/>
        </row>
        <row r="110">
          <cell r="R110"/>
        </row>
        <row r="111">
          <cell r="R111"/>
        </row>
        <row r="112">
          <cell r="R112"/>
        </row>
        <row r="113">
          <cell r="R113"/>
        </row>
        <row r="114">
          <cell r="R114"/>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ashboard"/>
      <sheetName val="1-Trade Log"/>
      <sheetName val="Trade Review"/>
      <sheetName val="2-Stock Position"/>
      <sheetName val="Update"/>
      <sheetName val="Sheet1"/>
      <sheetName val="3-Monthly Report"/>
      <sheetName val="4-Bank Transfers"/>
      <sheetName val="5-Dividends"/>
      <sheetName val="6-Trade Plan"/>
      <sheetName val="Watchlist"/>
      <sheetName val="Archive &amp; Settings"/>
    </sheetNames>
    <sheetDataSet>
      <sheetData sheetId="0"/>
      <sheetData sheetId="1"/>
      <sheetData sheetId="2">
        <row r="2">
          <cell r="F2" t="str">
            <v>Elijah Paul Ramos</v>
          </cell>
        </row>
        <row r="15">
          <cell r="E15" t="str">
            <v>PXP</v>
          </cell>
        </row>
        <row r="16">
          <cell r="E16" t="str">
            <v>MAC</v>
          </cell>
        </row>
        <row r="17">
          <cell r="E17" t="str">
            <v>APX</v>
          </cell>
        </row>
        <row r="18">
          <cell r="E18" t="str">
            <v>IMI</v>
          </cell>
        </row>
        <row r="19">
          <cell r="E19" t="str">
            <v>TUGS</v>
          </cell>
        </row>
        <row r="20">
          <cell r="E20" t="str">
            <v>FGEN</v>
          </cell>
        </row>
        <row r="21">
          <cell r="E21" t="str">
            <v>BDO</v>
          </cell>
        </row>
        <row r="22">
          <cell r="E22" t="str">
            <v>WPI</v>
          </cell>
        </row>
        <row r="23">
          <cell r="E23" t="str">
            <v>WLCON</v>
          </cell>
        </row>
        <row r="24">
          <cell r="E24" t="str">
            <v>MEG</v>
          </cell>
        </row>
        <row r="25">
          <cell r="E25" t="str">
            <v>X</v>
          </cell>
        </row>
        <row r="26">
          <cell r="E26" t="str">
            <v>EDC</v>
          </cell>
        </row>
        <row r="27">
          <cell r="E27" t="str">
            <v>SCC</v>
          </cell>
        </row>
        <row r="28">
          <cell r="E28" t="str">
            <v>EW</v>
          </cell>
        </row>
        <row r="29">
          <cell r="E29" t="str">
            <v>MRP</v>
          </cell>
        </row>
        <row r="30">
          <cell r="E30" t="str">
            <v>RRHI</v>
          </cell>
        </row>
        <row r="31">
          <cell r="E31" t="str">
            <v>NIKL</v>
          </cell>
        </row>
        <row r="32">
          <cell r="E32" t="str">
            <v>CHP</v>
          </cell>
        </row>
        <row r="33">
          <cell r="E33" t="str">
            <v>AGI</v>
          </cell>
        </row>
        <row r="34">
          <cell r="E34" t="str">
            <v>STI</v>
          </cell>
        </row>
        <row r="35">
          <cell r="E35" t="str">
            <v>PXP</v>
          </cell>
        </row>
        <row r="36">
          <cell r="E36" t="str">
            <v>MAC</v>
          </cell>
        </row>
        <row r="37">
          <cell r="E37" t="str">
            <v>APX</v>
          </cell>
        </row>
        <row r="38">
          <cell r="E38" t="str">
            <v>IMI</v>
          </cell>
        </row>
        <row r="39">
          <cell r="E39" t="str">
            <v>TUGS</v>
          </cell>
        </row>
        <row r="40">
          <cell r="E40" t="str">
            <v>FGEN</v>
          </cell>
        </row>
        <row r="41">
          <cell r="E41" t="str">
            <v>BDO</v>
          </cell>
        </row>
        <row r="42">
          <cell r="E42" t="str">
            <v>WPI</v>
          </cell>
        </row>
        <row r="43">
          <cell r="E43" t="str">
            <v>WLCON</v>
          </cell>
        </row>
        <row r="44">
          <cell r="E44" t="str">
            <v>MEG</v>
          </cell>
        </row>
        <row r="45">
          <cell r="E45" t="str">
            <v>X</v>
          </cell>
        </row>
        <row r="46">
          <cell r="E46" t="str">
            <v>EDC</v>
          </cell>
        </row>
        <row r="47">
          <cell r="E47" t="str">
            <v>SCC</v>
          </cell>
        </row>
        <row r="48">
          <cell r="E48" t="str">
            <v>EW</v>
          </cell>
        </row>
        <row r="49">
          <cell r="E49" t="str">
            <v>MRP</v>
          </cell>
        </row>
        <row r="50">
          <cell r="E50" t="str">
            <v>RRHI</v>
          </cell>
        </row>
        <row r="51">
          <cell r="E51" t="str">
            <v>NIKL</v>
          </cell>
        </row>
        <row r="52">
          <cell r="E52" t="str">
            <v>CHP</v>
          </cell>
        </row>
        <row r="53">
          <cell r="E53" t="str">
            <v>AGI</v>
          </cell>
        </row>
        <row r="54">
          <cell r="E54" t="str">
            <v>STI</v>
          </cell>
        </row>
        <row r="55">
          <cell r="E55" t="str">
            <v>AGI</v>
          </cell>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row r="156">
          <cell r="E156"/>
        </row>
        <row r="157">
          <cell r="E157"/>
        </row>
        <row r="158">
          <cell r="E158"/>
        </row>
        <row r="159">
          <cell r="E159"/>
        </row>
        <row r="160">
          <cell r="E160"/>
        </row>
        <row r="161">
          <cell r="E161"/>
        </row>
        <row r="162">
          <cell r="E162"/>
        </row>
        <row r="163">
          <cell r="E163"/>
        </row>
        <row r="164">
          <cell r="E164"/>
        </row>
        <row r="165">
          <cell r="E165"/>
        </row>
        <row r="166">
          <cell r="E166"/>
        </row>
        <row r="167">
          <cell r="E167"/>
        </row>
        <row r="168">
          <cell r="E168"/>
        </row>
        <row r="169">
          <cell r="E169"/>
        </row>
        <row r="170">
          <cell r="E170"/>
        </row>
        <row r="171">
          <cell r="E171"/>
        </row>
        <row r="172">
          <cell r="E172"/>
        </row>
        <row r="173">
          <cell r="E173"/>
        </row>
        <row r="174">
          <cell r="E174"/>
        </row>
        <row r="175">
          <cell r="E175"/>
        </row>
        <row r="176">
          <cell r="E176"/>
        </row>
        <row r="177">
          <cell r="E177"/>
        </row>
        <row r="178">
          <cell r="E178"/>
        </row>
        <row r="179">
          <cell r="E179"/>
        </row>
        <row r="180">
          <cell r="E180"/>
        </row>
        <row r="181">
          <cell r="E181"/>
        </row>
        <row r="182">
          <cell r="E182"/>
        </row>
        <row r="183">
          <cell r="E183"/>
        </row>
        <row r="184">
          <cell r="E184"/>
        </row>
        <row r="185">
          <cell r="E185"/>
        </row>
        <row r="186">
          <cell r="E186"/>
        </row>
        <row r="187">
          <cell r="E187"/>
        </row>
        <row r="188">
          <cell r="E188"/>
        </row>
        <row r="189">
          <cell r="E189"/>
        </row>
        <row r="190">
          <cell r="E190"/>
        </row>
        <row r="191">
          <cell r="E191"/>
        </row>
        <row r="192">
          <cell r="E192"/>
        </row>
        <row r="193">
          <cell r="E193"/>
        </row>
        <row r="194">
          <cell r="E194"/>
        </row>
        <row r="195">
          <cell r="E195"/>
        </row>
        <row r="196">
          <cell r="E196"/>
        </row>
        <row r="197">
          <cell r="E197"/>
        </row>
        <row r="198">
          <cell r="E198"/>
        </row>
        <row r="199">
          <cell r="E199"/>
        </row>
        <row r="200">
          <cell r="E200"/>
        </row>
        <row r="201">
          <cell r="E201"/>
        </row>
        <row r="202">
          <cell r="E202"/>
        </row>
        <row r="203">
          <cell r="E203"/>
        </row>
        <row r="204">
          <cell r="E204"/>
        </row>
        <row r="205">
          <cell r="E205"/>
        </row>
        <row r="206">
          <cell r="E206"/>
        </row>
        <row r="207">
          <cell r="E207"/>
        </row>
        <row r="208">
          <cell r="E208"/>
        </row>
        <row r="209">
          <cell r="E209"/>
        </row>
        <row r="210">
          <cell r="E210"/>
        </row>
        <row r="211">
          <cell r="E211"/>
        </row>
        <row r="212">
          <cell r="E212"/>
        </row>
        <row r="213">
          <cell r="E213"/>
        </row>
        <row r="214">
          <cell r="E214"/>
        </row>
        <row r="215">
          <cell r="E215"/>
        </row>
        <row r="216">
          <cell r="E216"/>
        </row>
        <row r="217">
          <cell r="E217"/>
        </row>
        <row r="218">
          <cell r="E218"/>
        </row>
        <row r="219">
          <cell r="E219"/>
        </row>
        <row r="220">
          <cell r="E220"/>
        </row>
        <row r="221">
          <cell r="E221"/>
        </row>
        <row r="222">
          <cell r="E222"/>
        </row>
        <row r="223">
          <cell r="E223"/>
        </row>
        <row r="224">
          <cell r="E224"/>
        </row>
        <row r="225">
          <cell r="E225"/>
        </row>
        <row r="226">
          <cell r="E226"/>
        </row>
        <row r="227">
          <cell r="E227"/>
        </row>
        <row r="228">
          <cell r="E228"/>
        </row>
        <row r="229">
          <cell r="E229"/>
        </row>
        <row r="230">
          <cell r="E230"/>
        </row>
        <row r="231">
          <cell r="E231"/>
        </row>
        <row r="232">
          <cell r="E232"/>
        </row>
        <row r="233">
          <cell r="E233"/>
        </row>
        <row r="234">
          <cell r="E234"/>
        </row>
        <row r="235">
          <cell r="E235"/>
        </row>
        <row r="236">
          <cell r="E236"/>
        </row>
        <row r="237">
          <cell r="E237"/>
        </row>
        <row r="238">
          <cell r="E238"/>
        </row>
        <row r="239">
          <cell r="E239"/>
        </row>
        <row r="240">
          <cell r="E240"/>
        </row>
        <row r="241">
          <cell r="E241"/>
        </row>
        <row r="242">
          <cell r="E242"/>
        </row>
        <row r="243">
          <cell r="E243"/>
        </row>
        <row r="244">
          <cell r="E244"/>
        </row>
        <row r="245">
          <cell r="E245"/>
        </row>
        <row r="246">
          <cell r="E246"/>
        </row>
        <row r="247">
          <cell r="E247"/>
        </row>
        <row r="248">
          <cell r="E248"/>
        </row>
        <row r="249">
          <cell r="E249"/>
        </row>
        <row r="250">
          <cell r="E250"/>
        </row>
        <row r="251">
          <cell r="E251"/>
        </row>
        <row r="252">
          <cell r="E252"/>
        </row>
        <row r="253">
          <cell r="E253"/>
        </row>
        <row r="254">
          <cell r="E254"/>
        </row>
        <row r="255">
          <cell r="E255"/>
        </row>
        <row r="256">
          <cell r="E256"/>
        </row>
        <row r="257">
          <cell r="E257"/>
        </row>
        <row r="258">
          <cell r="E258"/>
        </row>
        <row r="259">
          <cell r="E259"/>
        </row>
        <row r="260">
          <cell r="E260"/>
        </row>
        <row r="261">
          <cell r="E261"/>
        </row>
        <row r="262">
          <cell r="E262"/>
        </row>
        <row r="263">
          <cell r="E263"/>
        </row>
        <row r="264">
          <cell r="E264"/>
        </row>
        <row r="265">
          <cell r="E265"/>
        </row>
        <row r="266">
          <cell r="E266"/>
        </row>
        <row r="267">
          <cell r="E267"/>
        </row>
        <row r="268">
          <cell r="E268"/>
        </row>
        <row r="269">
          <cell r="E269"/>
        </row>
        <row r="270">
          <cell r="E270"/>
        </row>
        <row r="271">
          <cell r="E271"/>
        </row>
        <row r="272">
          <cell r="E272"/>
        </row>
        <row r="273">
          <cell r="E273"/>
        </row>
        <row r="274">
          <cell r="E274"/>
        </row>
        <row r="275">
          <cell r="E275"/>
        </row>
        <row r="276">
          <cell r="E276"/>
        </row>
        <row r="277">
          <cell r="E277"/>
        </row>
        <row r="278">
          <cell r="E278"/>
        </row>
        <row r="279">
          <cell r="E279"/>
        </row>
        <row r="280">
          <cell r="E280"/>
        </row>
        <row r="281">
          <cell r="E281"/>
        </row>
        <row r="282">
          <cell r="E282"/>
        </row>
        <row r="283">
          <cell r="E283"/>
        </row>
        <row r="284">
          <cell r="E284"/>
        </row>
        <row r="285">
          <cell r="E285"/>
        </row>
        <row r="286">
          <cell r="E286"/>
        </row>
        <row r="287">
          <cell r="E287"/>
        </row>
        <row r="288">
          <cell r="E288"/>
        </row>
        <row r="289">
          <cell r="E289"/>
        </row>
        <row r="290">
          <cell r="E290"/>
        </row>
        <row r="291">
          <cell r="E291"/>
        </row>
        <row r="292">
          <cell r="E292"/>
        </row>
        <row r="293">
          <cell r="E293"/>
        </row>
        <row r="294">
          <cell r="E294"/>
        </row>
        <row r="295">
          <cell r="E295"/>
        </row>
        <row r="296">
          <cell r="E296"/>
        </row>
        <row r="297">
          <cell r="E297"/>
        </row>
        <row r="298">
          <cell r="E298"/>
        </row>
        <row r="299">
          <cell r="E299"/>
        </row>
        <row r="300">
          <cell r="E300"/>
        </row>
        <row r="301">
          <cell r="E301"/>
        </row>
        <row r="302">
          <cell r="E302"/>
        </row>
        <row r="303">
          <cell r="E303"/>
        </row>
        <row r="304">
          <cell r="E304"/>
        </row>
        <row r="305">
          <cell r="E305"/>
        </row>
        <row r="306">
          <cell r="E306"/>
        </row>
        <row r="307">
          <cell r="E307"/>
        </row>
        <row r="308">
          <cell r="E308"/>
        </row>
        <row r="309">
          <cell r="E309"/>
        </row>
        <row r="310">
          <cell r="E310"/>
        </row>
        <row r="311">
          <cell r="E311"/>
        </row>
        <row r="312">
          <cell r="E312"/>
        </row>
        <row r="313">
          <cell r="E313"/>
        </row>
        <row r="314">
          <cell r="E314"/>
        </row>
        <row r="315">
          <cell r="E315"/>
        </row>
        <row r="316">
          <cell r="E316"/>
        </row>
        <row r="317">
          <cell r="E317"/>
        </row>
        <row r="318">
          <cell r="E318"/>
        </row>
        <row r="319">
          <cell r="E319"/>
        </row>
        <row r="320">
          <cell r="E320"/>
        </row>
        <row r="321">
          <cell r="E321"/>
        </row>
        <row r="322">
          <cell r="E322"/>
        </row>
        <row r="323">
          <cell r="E323"/>
        </row>
        <row r="324">
          <cell r="E324"/>
        </row>
        <row r="325">
          <cell r="E325"/>
        </row>
        <row r="326">
          <cell r="E326"/>
        </row>
        <row r="327">
          <cell r="E327"/>
        </row>
        <row r="328">
          <cell r="E328"/>
        </row>
        <row r="329">
          <cell r="E329"/>
        </row>
        <row r="330">
          <cell r="E330"/>
        </row>
        <row r="331">
          <cell r="E331"/>
        </row>
        <row r="332">
          <cell r="E332"/>
        </row>
        <row r="333">
          <cell r="E333"/>
        </row>
        <row r="334">
          <cell r="E334"/>
        </row>
        <row r="335">
          <cell r="E335"/>
        </row>
        <row r="336">
          <cell r="E336"/>
        </row>
        <row r="337">
          <cell r="E337"/>
        </row>
        <row r="338">
          <cell r="E338"/>
        </row>
        <row r="339">
          <cell r="E339"/>
        </row>
        <row r="340">
          <cell r="E340"/>
        </row>
        <row r="341">
          <cell r="E341"/>
        </row>
        <row r="342">
          <cell r="E342"/>
        </row>
        <row r="343">
          <cell r="E343"/>
        </row>
        <row r="344">
          <cell r="E344"/>
        </row>
        <row r="345">
          <cell r="E345"/>
        </row>
        <row r="346">
          <cell r="E346"/>
        </row>
        <row r="347">
          <cell r="E347"/>
        </row>
        <row r="348">
          <cell r="E348"/>
        </row>
        <row r="349">
          <cell r="E349"/>
        </row>
        <row r="350">
          <cell r="E350"/>
        </row>
        <row r="351">
          <cell r="E351"/>
        </row>
        <row r="352">
          <cell r="E352"/>
        </row>
        <row r="353">
          <cell r="E353"/>
        </row>
        <row r="354">
          <cell r="E354"/>
        </row>
        <row r="355">
          <cell r="E355"/>
        </row>
        <row r="356">
          <cell r="E356"/>
        </row>
        <row r="357">
          <cell r="E357"/>
        </row>
        <row r="358">
          <cell r="E358"/>
        </row>
        <row r="359">
          <cell r="E359"/>
        </row>
        <row r="360">
          <cell r="E360"/>
        </row>
        <row r="361">
          <cell r="E361"/>
        </row>
        <row r="362">
          <cell r="E362"/>
        </row>
        <row r="363">
          <cell r="E363"/>
        </row>
        <row r="364">
          <cell r="E364"/>
        </row>
        <row r="365">
          <cell r="E365"/>
        </row>
        <row r="366">
          <cell r="E366"/>
        </row>
        <row r="367">
          <cell r="E367"/>
        </row>
        <row r="368">
          <cell r="E368"/>
        </row>
        <row r="369">
          <cell r="E369"/>
        </row>
        <row r="370">
          <cell r="E370"/>
        </row>
        <row r="371">
          <cell r="E371"/>
        </row>
        <row r="372">
          <cell r="E372"/>
        </row>
        <row r="373">
          <cell r="E373"/>
        </row>
        <row r="374">
          <cell r="E374"/>
        </row>
        <row r="375">
          <cell r="E375"/>
        </row>
        <row r="376">
          <cell r="E376"/>
        </row>
        <row r="377">
          <cell r="E377"/>
        </row>
        <row r="378">
          <cell r="E378"/>
        </row>
        <row r="379">
          <cell r="E379"/>
        </row>
        <row r="380">
          <cell r="E380"/>
        </row>
        <row r="381">
          <cell r="E381"/>
        </row>
        <row r="382">
          <cell r="E382"/>
        </row>
        <row r="383">
          <cell r="E383"/>
        </row>
        <row r="384">
          <cell r="E384"/>
        </row>
        <row r="385">
          <cell r="E385"/>
        </row>
        <row r="386">
          <cell r="E386"/>
        </row>
        <row r="387">
          <cell r="E387"/>
        </row>
        <row r="388">
          <cell r="E388"/>
        </row>
        <row r="389">
          <cell r="E389"/>
        </row>
        <row r="390">
          <cell r="E390"/>
        </row>
        <row r="391">
          <cell r="E391"/>
        </row>
        <row r="392">
          <cell r="E392"/>
        </row>
        <row r="393">
          <cell r="E393"/>
        </row>
        <row r="394">
          <cell r="E394"/>
        </row>
        <row r="395">
          <cell r="E395"/>
        </row>
        <row r="396">
          <cell r="E396"/>
        </row>
        <row r="397">
          <cell r="E397"/>
        </row>
        <row r="398">
          <cell r="E398"/>
        </row>
        <row r="399">
          <cell r="E399"/>
        </row>
        <row r="400">
          <cell r="E400"/>
        </row>
        <row r="401">
          <cell r="E401"/>
        </row>
        <row r="402">
          <cell r="E402"/>
        </row>
        <row r="403">
          <cell r="E403"/>
        </row>
        <row r="404">
          <cell r="E404"/>
        </row>
        <row r="405">
          <cell r="E405"/>
        </row>
        <row r="406">
          <cell r="E406"/>
        </row>
        <row r="407">
          <cell r="E407"/>
        </row>
        <row r="408">
          <cell r="E408"/>
        </row>
        <row r="409">
          <cell r="E409"/>
        </row>
        <row r="410">
          <cell r="E410"/>
        </row>
        <row r="411">
          <cell r="E411"/>
        </row>
        <row r="412">
          <cell r="E412"/>
        </row>
        <row r="413">
          <cell r="E413"/>
        </row>
        <row r="414">
          <cell r="E414"/>
        </row>
        <row r="415">
          <cell r="E415"/>
        </row>
        <row r="416">
          <cell r="E416"/>
        </row>
        <row r="417">
          <cell r="E417"/>
        </row>
        <row r="418">
          <cell r="E418"/>
        </row>
        <row r="419">
          <cell r="E419"/>
        </row>
        <row r="420">
          <cell r="E420"/>
        </row>
        <row r="421">
          <cell r="E421"/>
        </row>
        <row r="422">
          <cell r="E422"/>
        </row>
        <row r="423">
          <cell r="E423"/>
        </row>
        <row r="424">
          <cell r="E424"/>
        </row>
        <row r="425">
          <cell r="E425"/>
        </row>
        <row r="426">
          <cell r="E426"/>
        </row>
        <row r="427">
          <cell r="E427"/>
        </row>
        <row r="428">
          <cell r="E428"/>
        </row>
        <row r="429">
          <cell r="E429"/>
        </row>
        <row r="430">
          <cell r="E430"/>
        </row>
        <row r="431">
          <cell r="E431"/>
        </row>
        <row r="432">
          <cell r="E432"/>
        </row>
        <row r="433">
          <cell r="E433"/>
        </row>
        <row r="434">
          <cell r="E434"/>
        </row>
        <row r="435">
          <cell r="E435"/>
        </row>
        <row r="436">
          <cell r="E436"/>
        </row>
        <row r="437">
          <cell r="E437"/>
        </row>
        <row r="438">
          <cell r="E438"/>
        </row>
        <row r="439">
          <cell r="E439"/>
        </row>
        <row r="440">
          <cell r="E440"/>
        </row>
        <row r="441">
          <cell r="E441"/>
        </row>
        <row r="442">
          <cell r="E442"/>
        </row>
        <row r="443">
          <cell r="E443"/>
        </row>
        <row r="444">
          <cell r="E444"/>
        </row>
        <row r="445">
          <cell r="E445"/>
        </row>
        <row r="446">
          <cell r="E446"/>
        </row>
        <row r="447">
          <cell r="E447"/>
        </row>
        <row r="448">
          <cell r="E448"/>
        </row>
        <row r="449">
          <cell r="E449"/>
        </row>
        <row r="450">
          <cell r="E450"/>
        </row>
        <row r="451">
          <cell r="E451"/>
        </row>
        <row r="452">
          <cell r="E452"/>
        </row>
        <row r="453">
          <cell r="E453"/>
        </row>
        <row r="454">
          <cell r="E454"/>
        </row>
        <row r="455">
          <cell r="E455"/>
        </row>
        <row r="456">
          <cell r="E456"/>
        </row>
        <row r="457">
          <cell r="E457"/>
        </row>
        <row r="458">
          <cell r="E458"/>
        </row>
        <row r="459">
          <cell r="E459"/>
        </row>
        <row r="460">
          <cell r="E460"/>
        </row>
        <row r="461">
          <cell r="E461"/>
        </row>
        <row r="462">
          <cell r="E462"/>
        </row>
        <row r="463">
          <cell r="E463"/>
        </row>
        <row r="464">
          <cell r="E464"/>
        </row>
        <row r="465">
          <cell r="E465"/>
        </row>
        <row r="466">
          <cell r="E466"/>
        </row>
        <row r="467">
          <cell r="E467"/>
        </row>
        <row r="468">
          <cell r="E468"/>
        </row>
        <row r="469">
          <cell r="E469"/>
        </row>
        <row r="470">
          <cell r="E470"/>
        </row>
        <row r="471">
          <cell r="E471"/>
        </row>
        <row r="472">
          <cell r="E472"/>
        </row>
        <row r="473">
          <cell r="E473"/>
        </row>
        <row r="474">
          <cell r="E474"/>
        </row>
        <row r="475">
          <cell r="E475"/>
        </row>
        <row r="476">
          <cell r="E476"/>
        </row>
        <row r="477">
          <cell r="E477"/>
        </row>
        <row r="478">
          <cell r="E478"/>
        </row>
        <row r="479">
          <cell r="E479"/>
        </row>
        <row r="480">
          <cell r="E480"/>
        </row>
        <row r="481">
          <cell r="E481"/>
        </row>
        <row r="482">
          <cell r="E482"/>
        </row>
        <row r="483">
          <cell r="E483"/>
        </row>
        <row r="484">
          <cell r="E484"/>
        </row>
        <row r="485">
          <cell r="E485"/>
        </row>
        <row r="486">
          <cell r="E486"/>
        </row>
        <row r="487">
          <cell r="E487"/>
        </row>
        <row r="488">
          <cell r="E488"/>
        </row>
        <row r="489">
          <cell r="E489"/>
        </row>
        <row r="490">
          <cell r="E490"/>
        </row>
        <row r="491">
          <cell r="E491"/>
        </row>
        <row r="492">
          <cell r="E492"/>
        </row>
        <row r="493">
          <cell r="E493"/>
        </row>
        <row r="494">
          <cell r="E494"/>
        </row>
        <row r="495">
          <cell r="E495"/>
        </row>
        <row r="496">
          <cell r="E496"/>
        </row>
        <row r="497">
          <cell r="E497"/>
        </row>
        <row r="498">
          <cell r="E498"/>
        </row>
        <row r="499">
          <cell r="E499"/>
        </row>
        <row r="500">
          <cell r="E500"/>
        </row>
        <row r="501">
          <cell r="E501"/>
        </row>
        <row r="502">
          <cell r="E502"/>
        </row>
        <row r="503">
          <cell r="E503"/>
        </row>
        <row r="504">
          <cell r="E504"/>
        </row>
        <row r="505">
          <cell r="E505"/>
        </row>
        <row r="506">
          <cell r="E506"/>
        </row>
        <row r="507">
          <cell r="E507"/>
        </row>
        <row r="508">
          <cell r="E508"/>
        </row>
        <row r="509">
          <cell r="E509"/>
        </row>
        <row r="510">
          <cell r="E510"/>
        </row>
        <row r="511">
          <cell r="E511"/>
        </row>
        <row r="512">
          <cell r="E512"/>
        </row>
        <row r="513">
          <cell r="E513"/>
        </row>
        <row r="514">
          <cell r="E514"/>
        </row>
        <row r="515">
          <cell r="E515"/>
        </row>
        <row r="516">
          <cell r="E516"/>
        </row>
        <row r="517">
          <cell r="E517"/>
        </row>
        <row r="518">
          <cell r="E518"/>
        </row>
        <row r="519">
          <cell r="E519"/>
        </row>
        <row r="520">
          <cell r="E520"/>
        </row>
        <row r="521">
          <cell r="E521"/>
        </row>
        <row r="522">
          <cell r="E522"/>
        </row>
        <row r="523">
          <cell r="E523"/>
        </row>
        <row r="524">
          <cell r="E524"/>
        </row>
        <row r="525">
          <cell r="E525"/>
        </row>
        <row r="526">
          <cell r="E526"/>
        </row>
        <row r="527">
          <cell r="E527"/>
        </row>
        <row r="528">
          <cell r="E528"/>
        </row>
        <row r="529">
          <cell r="E529"/>
        </row>
        <row r="530">
          <cell r="E530"/>
        </row>
        <row r="531">
          <cell r="E531"/>
        </row>
        <row r="532">
          <cell r="E532"/>
        </row>
        <row r="533">
          <cell r="E533"/>
        </row>
        <row r="534">
          <cell r="E534"/>
        </row>
        <row r="535">
          <cell r="E535"/>
        </row>
        <row r="536">
          <cell r="E536"/>
        </row>
        <row r="537">
          <cell r="E537"/>
        </row>
        <row r="538">
          <cell r="E538"/>
        </row>
        <row r="539">
          <cell r="E539"/>
        </row>
        <row r="540">
          <cell r="E540"/>
        </row>
        <row r="541">
          <cell r="E541"/>
        </row>
        <row r="542">
          <cell r="E542"/>
        </row>
        <row r="543">
          <cell r="E543"/>
        </row>
        <row r="544">
          <cell r="E544"/>
        </row>
        <row r="545">
          <cell r="E545"/>
        </row>
        <row r="546">
          <cell r="E546"/>
        </row>
        <row r="547">
          <cell r="E547"/>
        </row>
        <row r="548">
          <cell r="E548"/>
        </row>
        <row r="549">
          <cell r="E549"/>
        </row>
        <row r="550">
          <cell r="E550"/>
        </row>
        <row r="551">
          <cell r="E551"/>
        </row>
        <row r="552">
          <cell r="E552"/>
        </row>
        <row r="553">
          <cell r="E553"/>
        </row>
        <row r="554">
          <cell r="E554"/>
        </row>
        <row r="555">
          <cell r="E555"/>
        </row>
        <row r="556">
          <cell r="E556"/>
        </row>
        <row r="557">
          <cell r="E557"/>
        </row>
        <row r="558">
          <cell r="E558"/>
        </row>
        <row r="559">
          <cell r="E559"/>
        </row>
        <row r="560">
          <cell r="E560"/>
        </row>
        <row r="561">
          <cell r="E561"/>
        </row>
        <row r="562">
          <cell r="E562"/>
        </row>
        <row r="563">
          <cell r="E563"/>
        </row>
        <row r="564">
          <cell r="E564"/>
        </row>
        <row r="565">
          <cell r="E565"/>
        </row>
        <row r="566">
          <cell r="E566"/>
        </row>
        <row r="567">
          <cell r="E567"/>
        </row>
        <row r="568">
          <cell r="E568"/>
        </row>
        <row r="569">
          <cell r="E569"/>
        </row>
        <row r="570">
          <cell r="E570"/>
        </row>
        <row r="571">
          <cell r="E571"/>
        </row>
        <row r="572">
          <cell r="E572"/>
        </row>
        <row r="573">
          <cell r="E573"/>
        </row>
        <row r="574">
          <cell r="E574"/>
        </row>
        <row r="575">
          <cell r="E575"/>
        </row>
        <row r="576">
          <cell r="E576"/>
        </row>
        <row r="577">
          <cell r="E577"/>
        </row>
        <row r="578">
          <cell r="E578"/>
        </row>
        <row r="579">
          <cell r="E579"/>
        </row>
        <row r="580">
          <cell r="E580"/>
        </row>
        <row r="581">
          <cell r="E581"/>
        </row>
        <row r="582">
          <cell r="E582"/>
        </row>
        <row r="583">
          <cell r="E583"/>
        </row>
        <row r="584">
          <cell r="E584"/>
        </row>
        <row r="585">
          <cell r="E585"/>
        </row>
        <row r="586">
          <cell r="E586"/>
        </row>
        <row r="587">
          <cell r="E587"/>
        </row>
        <row r="588">
          <cell r="E588"/>
        </row>
        <row r="589">
          <cell r="E589"/>
        </row>
        <row r="590">
          <cell r="E590"/>
        </row>
        <row r="591">
          <cell r="E591"/>
        </row>
        <row r="592">
          <cell r="E592"/>
        </row>
        <row r="593">
          <cell r="E593"/>
        </row>
        <row r="594">
          <cell r="E594"/>
        </row>
        <row r="595">
          <cell r="E595"/>
        </row>
        <row r="596">
          <cell r="E596"/>
        </row>
        <row r="597">
          <cell r="E597"/>
        </row>
        <row r="598">
          <cell r="E598"/>
        </row>
        <row r="599">
          <cell r="E599"/>
        </row>
        <row r="600">
          <cell r="E600"/>
        </row>
        <row r="601">
          <cell r="E601"/>
        </row>
        <row r="602">
          <cell r="E602"/>
        </row>
        <row r="603">
          <cell r="E603"/>
        </row>
        <row r="604">
          <cell r="E604"/>
        </row>
        <row r="605">
          <cell r="E605"/>
        </row>
        <row r="606">
          <cell r="E606"/>
        </row>
        <row r="607">
          <cell r="E607"/>
        </row>
        <row r="608">
          <cell r="E608"/>
        </row>
        <row r="609">
          <cell r="E609"/>
        </row>
        <row r="610">
          <cell r="E610"/>
        </row>
        <row r="611">
          <cell r="E611"/>
        </row>
        <row r="612">
          <cell r="E612"/>
        </row>
        <row r="613">
          <cell r="E613"/>
        </row>
        <row r="614">
          <cell r="E614"/>
        </row>
        <row r="615">
          <cell r="E615"/>
        </row>
        <row r="616">
          <cell r="E616"/>
        </row>
        <row r="617">
          <cell r="E617"/>
        </row>
        <row r="618">
          <cell r="E618"/>
        </row>
        <row r="619">
          <cell r="E619"/>
        </row>
        <row r="620">
          <cell r="E620"/>
        </row>
        <row r="621">
          <cell r="E621"/>
        </row>
        <row r="622">
          <cell r="E622"/>
        </row>
        <row r="623">
          <cell r="E623"/>
        </row>
        <row r="624">
          <cell r="E624"/>
        </row>
        <row r="625">
          <cell r="E625"/>
        </row>
        <row r="626">
          <cell r="E626"/>
        </row>
        <row r="627">
          <cell r="E627"/>
        </row>
        <row r="628">
          <cell r="E628"/>
        </row>
        <row r="629">
          <cell r="E629"/>
        </row>
        <row r="630">
          <cell r="E630"/>
        </row>
        <row r="631">
          <cell r="E631"/>
        </row>
        <row r="632">
          <cell r="E632"/>
        </row>
        <row r="633">
          <cell r="E633"/>
        </row>
        <row r="634">
          <cell r="E634"/>
        </row>
        <row r="635">
          <cell r="E635"/>
        </row>
        <row r="636">
          <cell r="E636"/>
        </row>
        <row r="637">
          <cell r="E637"/>
        </row>
        <row r="638">
          <cell r="E638"/>
        </row>
        <row r="639">
          <cell r="E639"/>
        </row>
        <row r="640">
          <cell r="E640"/>
        </row>
        <row r="641">
          <cell r="E641"/>
        </row>
        <row r="642">
          <cell r="E642"/>
        </row>
        <row r="643">
          <cell r="E643"/>
        </row>
        <row r="644">
          <cell r="E644"/>
        </row>
        <row r="645">
          <cell r="E645"/>
        </row>
        <row r="646">
          <cell r="E646"/>
        </row>
        <row r="647">
          <cell r="E647"/>
        </row>
        <row r="648">
          <cell r="E648"/>
        </row>
        <row r="649">
          <cell r="E649"/>
        </row>
        <row r="650">
          <cell r="E650"/>
        </row>
        <row r="651">
          <cell r="E651"/>
        </row>
        <row r="652">
          <cell r="E652"/>
        </row>
        <row r="653">
          <cell r="E653"/>
        </row>
        <row r="654">
          <cell r="E654"/>
        </row>
        <row r="655">
          <cell r="E655"/>
        </row>
        <row r="656">
          <cell r="E656"/>
        </row>
        <row r="657">
          <cell r="E657"/>
        </row>
        <row r="658">
          <cell r="E658"/>
        </row>
        <row r="659">
          <cell r="E659"/>
        </row>
        <row r="660">
          <cell r="E660"/>
        </row>
        <row r="661">
          <cell r="E661"/>
        </row>
        <row r="662">
          <cell r="E662"/>
        </row>
        <row r="663">
          <cell r="E663"/>
        </row>
        <row r="664">
          <cell r="E664"/>
        </row>
        <row r="665">
          <cell r="E665"/>
        </row>
        <row r="666">
          <cell r="E666"/>
        </row>
        <row r="667">
          <cell r="E667"/>
        </row>
        <row r="668">
          <cell r="E668"/>
        </row>
        <row r="669">
          <cell r="E669"/>
        </row>
        <row r="670">
          <cell r="E670"/>
        </row>
        <row r="671">
          <cell r="E671"/>
        </row>
        <row r="672">
          <cell r="E672"/>
        </row>
        <row r="673">
          <cell r="E673"/>
        </row>
        <row r="674">
          <cell r="E674"/>
        </row>
        <row r="675">
          <cell r="E675"/>
        </row>
        <row r="676">
          <cell r="E676"/>
        </row>
        <row r="677">
          <cell r="E677"/>
        </row>
        <row r="678">
          <cell r="E678"/>
        </row>
        <row r="679">
          <cell r="E679"/>
        </row>
        <row r="680">
          <cell r="E680"/>
        </row>
        <row r="681">
          <cell r="E681"/>
        </row>
        <row r="682">
          <cell r="E682"/>
        </row>
        <row r="683">
          <cell r="E683"/>
        </row>
        <row r="684">
          <cell r="E684"/>
        </row>
        <row r="685">
          <cell r="E685"/>
        </row>
        <row r="686">
          <cell r="E686"/>
        </row>
        <row r="687">
          <cell r="E687"/>
        </row>
        <row r="688">
          <cell r="E688"/>
        </row>
        <row r="689">
          <cell r="E689"/>
        </row>
        <row r="690">
          <cell r="E690"/>
        </row>
        <row r="691">
          <cell r="E691"/>
        </row>
        <row r="692">
          <cell r="E692"/>
        </row>
        <row r="693">
          <cell r="E693"/>
        </row>
        <row r="694">
          <cell r="E694"/>
        </row>
        <row r="695">
          <cell r="E695"/>
        </row>
        <row r="696">
          <cell r="E696"/>
        </row>
        <row r="697">
          <cell r="E697"/>
        </row>
        <row r="698">
          <cell r="E698"/>
        </row>
        <row r="699">
          <cell r="E699"/>
        </row>
        <row r="700">
          <cell r="E700"/>
        </row>
        <row r="701">
          <cell r="E701"/>
        </row>
        <row r="702">
          <cell r="E702"/>
        </row>
        <row r="703">
          <cell r="E703"/>
        </row>
        <row r="704">
          <cell r="E704"/>
        </row>
        <row r="705">
          <cell r="E705"/>
        </row>
        <row r="706">
          <cell r="E706"/>
        </row>
        <row r="707">
          <cell r="E707"/>
        </row>
        <row r="708">
          <cell r="E708"/>
        </row>
        <row r="709">
          <cell r="E709"/>
        </row>
        <row r="710">
          <cell r="E710"/>
        </row>
        <row r="711">
          <cell r="E711"/>
        </row>
        <row r="712">
          <cell r="E712"/>
        </row>
        <row r="713">
          <cell r="E713"/>
        </row>
        <row r="714">
          <cell r="E714"/>
        </row>
        <row r="715">
          <cell r="E715"/>
        </row>
        <row r="716">
          <cell r="E716"/>
        </row>
        <row r="717">
          <cell r="E717"/>
        </row>
        <row r="718">
          <cell r="E718"/>
        </row>
        <row r="719">
          <cell r="E719"/>
        </row>
        <row r="720">
          <cell r="E720"/>
        </row>
        <row r="721">
          <cell r="E721"/>
        </row>
        <row r="722">
          <cell r="E722"/>
        </row>
        <row r="723">
          <cell r="E723"/>
        </row>
        <row r="724">
          <cell r="E724"/>
        </row>
        <row r="725">
          <cell r="E725"/>
        </row>
        <row r="726">
          <cell r="E726"/>
        </row>
        <row r="727">
          <cell r="E727"/>
        </row>
        <row r="728">
          <cell r="E728"/>
        </row>
        <row r="729">
          <cell r="E729"/>
        </row>
        <row r="730">
          <cell r="E730"/>
        </row>
        <row r="731">
          <cell r="E731"/>
        </row>
        <row r="732">
          <cell r="E732"/>
        </row>
        <row r="733">
          <cell r="E733"/>
        </row>
        <row r="734">
          <cell r="E734"/>
        </row>
        <row r="735">
          <cell r="E735"/>
        </row>
        <row r="736">
          <cell r="E736"/>
        </row>
        <row r="737">
          <cell r="E737"/>
        </row>
        <row r="738">
          <cell r="E738"/>
        </row>
        <row r="739">
          <cell r="E739"/>
        </row>
        <row r="740">
          <cell r="E740"/>
        </row>
        <row r="741">
          <cell r="E741"/>
        </row>
        <row r="742">
          <cell r="E742"/>
        </row>
        <row r="743">
          <cell r="E743"/>
        </row>
        <row r="744">
          <cell r="E744"/>
        </row>
        <row r="745">
          <cell r="E745"/>
        </row>
        <row r="746">
          <cell r="E746"/>
        </row>
        <row r="747">
          <cell r="E747"/>
        </row>
        <row r="748">
          <cell r="E748"/>
        </row>
        <row r="749">
          <cell r="E749"/>
        </row>
        <row r="750">
          <cell r="E750"/>
        </row>
        <row r="751">
          <cell r="E751"/>
        </row>
        <row r="752">
          <cell r="E752"/>
        </row>
        <row r="753">
          <cell r="E753"/>
        </row>
        <row r="754">
          <cell r="E754"/>
        </row>
        <row r="755">
          <cell r="E755"/>
        </row>
        <row r="756">
          <cell r="E756"/>
        </row>
        <row r="757">
          <cell r="E757"/>
        </row>
        <row r="758">
          <cell r="E758"/>
        </row>
        <row r="759">
          <cell r="E759"/>
        </row>
        <row r="760">
          <cell r="E760"/>
        </row>
        <row r="761">
          <cell r="E761"/>
        </row>
        <row r="762">
          <cell r="E762"/>
        </row>
        <row r="763">
          <cell r="E763"/>
        </row>
        <row r="764">
          <cell r="E764"/>
        </row>
        <row r="765">
          <cell r="E765"/>
        </row>
        <row r="766">
          <cell r="E766"/>
        </row>
        <row r="767">
          <cell r="E767"/>
        </row>
        <row r="768">
          <cell r="E768"/>
        </row>
        <row r="769">
          <cell r="E769"/>
        </row>
        <row r="770">
          <cell r="E770"/>
        </row>
        <row r="771">
          <cell r="E771"/>
        </row>
        <row r="772">
          <cell r="E772"/>
        </row>
        <row r="773">
          <cell r="E773"/>
        </row>
        <row r="774">
          <cell r="E774"/>
        </row>
        <row r="775">
          <cell r="E775"/>
        </row>
        <row r="776">
          <cell r="E776"/>
        </row>
        <row r="777">
          <cell r="E777"/>
        </row>
        <row r="778">
          <cell r="E778"/>
        </row>
        <row r="779">
          <cell r="E779"/>
        </row>
        <row r="780">
          <cell r="E780"/>
        </row>
        <row r="781">
          <cell r="E781"/>
        </row>
        <row r="782">
          <cell r="E782"/>
        </row>
        <row r="783">
          <cell r="E783"/>
        </row>
        <row r="784">
          <cell r="E784"/>
        </row>
        <row r="785">
          <cell r="E785"/>
        </row>
        <row r="786">
          <cell r="E786"/>
        </row>
        <row r="787">
          <cell r="E787"/>
        </row>
        <row r="788">
          <cell r="E788"/>
        </row>
        <row r="789">
          <cell r="E789"/>
        </row>
        <row r="790">
          <cell r="E790"/>
        </row>
        <row r="791">
          <cell r="E791"/>
        </row>
        <row r="792">
          <cell r="E792"/>
        </row>
        <row r="793">
          <cell r="E793"/>
        </row>
        <row r="794">
          <cell r="E794"/>
        </row>
        <row r="795">
          <cell r="E795"/>
        </row>
        <row r="796">
          <cell r="E796"/>
        </row>
        <row r="797">
          <cell r="E797"/>
        </row>
        <row r="798">
          <cell r="E798"/>
        </row>
        <row r="799">
          <cell r="E799"/>
        </row>
        <row r="800">
          <cell r="E800"/>
        </row>
        <row r="801">
          <cell r="E801"/>
        </row>
        <row r="802">
          <cell r="E802"/>
        </row>
        <row r="803">
          <cell r="E803"/>
        </row>
        <row r="804">
          <cell r="E804"/>
        </row>
        <row r="805">
          <cell r="E805"/>
        </row>
        <row r="806">
          <cell r="E806"/>
        </row>
        <row r="807">
          <cell r="E807"/>
        </row>
        <row r="808">
          <cell r="E808"/>
        </row>
        <row r="809">
          <cell r="E809"/>
        </row>
        <row r="810">
          <cell r="E810"/>
        </row>
        <row r="811">
          <cell r="E811"/>
        </row>
        <row r="812">
          <cell r="E812"/>
        </row>
        <row r="813">
          <cell r="E813"/>
        </row>
        <row r="814">
          <cell r="E814"/>
        </row>
        <row r="815">
          <cell r="E815"/>
        </row>
        <row r="816">
          <cell r="E816"/>
        </row>
        <row r="817">
          <cell r="E817"/>
        </row>
        <row r="818">
          <cell r="E818"/>
        </row>
        <row r="819">
          <cell r="E819"/>
        </row>
        <row r="820">
          <cell r="E820"/>
        </row>
        <row r="821">
          <cell r="E821"/>
        </row>
        <row r="822">
          <cell r="E822"/>
        </row>
        <row r="823">
          <cell r="E823"/>
        </row>
        <row r="824">
          <cell r="E824"/>
        </row>
        <row r="825">
          <cell r="E825"/>
        </row>
        <row r="826">
          <cell r="E826"/>
        </row>
        <row r="827">
          <cell r="E827"/>
        </row>
        <row r="828">
          <cell r="E828"/>
        </row>
        <row r="829">
          <cell r="E829"/>
        </row>
        <row r="830">
          <cell r="E830"/>
        </row>
        <row r="831">
          <cell r="E831"/>
        </row>
        <row r="832">
          <cell r="E832"/>
        </row>
        <row r="833">
          <cell r="E833"/>
        </row>
        <row r="834">
          <cell r="E834"/>
        </row>
        <row r="835">
          <cell r="E835"/>
        </row>
        <row r="836">
          <cell r="E836"/>
        </row>
        <row r="837">
          <cell r="E837"/>
        </row>
        <row r="838">
          <cell r="E838"/>
        </row>
        <row r="839">
          <cell r="E839"/>
        </row>
        <row r="840">
          <cell r="E840"/>
        </row>
        <row r="841">
          <cell r="E841"/>
        </row>
        <row r="842">
          <cell r="E842"/>
        </row>
        <row r="843">
          <cell r="E843"/>
        </row>
        <row r="844">
          <cell r="E844"/>
        </row>
        <row r="845">
          <cell r="E845"/>
        </row>
        <row r="846">
          <cell r="E846"/>
        </row>
        <row r="847">
          <cell r="E847"/>
        </row>
        <row r="848">
          <cell r="E848"/>
        </row>
        <row r="849">
          <cell r="E849"/>
        </row>
        <row r="850">
          <cell r="E850"/>
        </row>
        <row r="851">
          <cell r="E851"/>
        </row>
        <row r="852">
          <cell r="E852"/>
        </row>
        <row r="853">
          <cell r="E853"/>
        </row>
        <row r="854">
          <cell r="E854"/>
        </row>
        <row r="855">
          <cell r="E855"/>
        </row>
        <row r="856">
          <cell r="E856"/>
        </row>
        <row r="857">
          <cell r="E857"/>
        </row>
        <row r="858">
          <cell r="E858"/>
        </row>
        <row r="859">
          <cell r="E859"/>
        </row>
        <row r="860">
          <cell r="E860"/>
        </row>
        <row r="861">
          <cell r="E861"/>
        </row>
        <row r="862">
          <cell r="E862"/>
        </row>
        <row r="863">
          <cell r="E863"/>
        </row>
        <row r="864">
          <cell r="E864"/>
        </row>
        <row r="865">
          <cell r="E865"/>
        </row>
        <row r="866">
          <cell r="E866"/>
        </row>
        <row r="867">
          <cell r="E867"/>
        </row>
        <row r="868">
          <cell r="E868"/>
        </row>
        <row r="869">
          <cell r="E869"/>
        </row>
        <row r="870">
          <cell r="E870"/>
        </row>
        <row r="871">
          <cell r="E871"/>
        </row>
        <row r="872">
          <cell r="E872"/>
        </row>
        <row r="873">
          <cell r="E873"/>
        </row>
        <row r="874">
          <cell r="E874"/>
        </row>
        <row r="875">
          <cell r="E875"/>
        </row>
        <row r="876">
          <cell r="E876"/>
        </row>
        <row r="877">
          <cell r="E877"/>
        </row>
        <row r="878">
          <cell r="E878"/>
        </row>
        <row r="879">
          <cell r="E879"/>
        </row>
        <row r="880">
          <cell r="E880"/>
        </row>
        <row r="881">
          <cell r="E881"/>
        </row>
        <row r="882">
          <cell r="E882"/>
        </row>
        <row r="883">
          <cell r="E883"/>
        </row>
        <row r="884">
          <cell r="E884"/>
        </row>
        <row r="885">
          <cell r="E885"/>
        </row>
        <row r="886">
          <cell r="E886"/>
        </row>
        <row r="887">
          <cell r="E887"/>
        </row>
        <row r="888">
          <cell r="E888"/>
        </row>
        <row r="889">
          <cell r="E889"/>
        </row>
        <row r="890">
          <cell r="E890"/>
        </row>
        <row r="891">
          <cell r="E891"/>
        </row>
        <row r="892">
          <cell r="E892"/>
        </row>
        <row r="893">
          <cell r="E893"/>
        </row>
        <row r="894">
          <cell r="E894"/>
        </row>
        <row r="895">
          <cell r="E895"/>
        </row>
        <row r="896">
          <cell r="E896"/>
        </row>
        <row r="897">
          <cell r="E897"/>
        </row>
        <row r="898">
          <cell r="E898"/>
        </row>
        <row r="899">
          <cell r="E899"/>
        </row>
        <row r="900">
          <cell r="E900"/>
        </row>
        <row r="901">
          <cell r="E901"/>
        </row>
        <row r="902">
          <cell r="E902"/>
        </row>
        <row r="903">
          <cell r="E903"/>
        </row>
        <row r="904">
          <cell r="E904"/>
        </row>
        <row r="905">
          <cell r="E905"/>
        </row>
        <row r="906">
          <cell r="E906"/>
        </row>
        <row r="907">
          <cell r="E907"/>
        </row>
        <row r="908">
          <cell r="E908"/>
        </row>
        <row r="909">
          <cell r="E909"/>
        </row>
        <row r="910">
          <cell r="E910"/>
        </row>
        <row r="911">
          <cell r="E911"/>
        </row>
        <row r="912">
          <cell r="E912"/>
        </row>
        <row r="913">
          <cell r="E913"/>
        </row>
        <row r="914">
          <cell r="E914"/>
        </row>
        <row r="915">
          <cell r="E915"/>
        </row>
        <row r="916">
          <cell r="E916"/>
        </row>
        <row r="917">
          <cell r="E917"/>
        </row>
        <row r="918">
          <cell r="E918"/>
        </row>
        <row r="919">
          <cell r="E919"/>
        </row>
        <row r="920">
          <cell r="E920"/>
        </row>
        <row r="921">
          <cell r="E921"/>
        </row>
        <row r="922">
          <cell r="E922"/>
        </row>
        <row r="923">
          <cell r="E923"/>
        </row>
        <row r="924">
          <cell r="E924"/>
        </row>
        <row r="925">
          <cell r="E925"/>
        </row>
        <row r="926">
          <cell r="E926"/>
        </row>
        <row r="927">
          <cell r="E927"/>
        </row>
        <row r="928">
          <cell r="E928"/>
        </row>
        <row r="929">
          <cell r="E929"/>
        </row>
        <row r="930">
          <cell r="E930"/>
        </row>
        <row r="931">
          <cell r="E931"/>
        </row>
        <row r="932">
          <cell r="E932"/>
        </row>
        <row r="933">
          <cell r="E933"/>
        </row>
        <row r="934">
          <cell r="E934"/>
        </row>
        <row r="935">
          <cell r="E935"/>
        </row>
        <row r="936">
          <cell r="E936"/>
        </row>
        <row r="937">
          <cell r="E937"/>
        </row>
        <row r="938">
          <cell r="E938"/>
        </row>
        <row r="939">
          <cell r="E939"/>
        </row>
        <row r="940">
          <cell r="E940"/>
        </row>
        <row r="941">
          <cell r="E941"/>
        </row>
        <row r="942">
          <cell r="E942"/>
        </row>
        <row r="943">
          <cell r="E943"/>
        </row>
        <row r="944">
          <cell r="E944"/>
        </row>
        <row r="945">
          <cell r="E945"/>
        </row>
        <row r="946">
          <cell r="E946"/>
        </row>
        <row r="947">
          <cell r="E947"/>
        </row>
        <row r="948">
          <cell r="E948"/>
        </row>
        <row r="949">
          <cell r="E949"/>
        </row>
        <row r="950">
          <cell r="E950"/>
        </row>
        <row r="951">
          <cell r="E951"/>
        </row>
        <row r="952">
          <cell r="E952"/>
        </row>
        <row r="953">
          <cell r="E953"/>
        </row>
        <row r="954">
          <cell r="E954"/>
        </row>
        <row r="955">
          <cell r="E955"/>
        </row>
        <row r="956">
          <cell r="E956"/>
        </row>
        <row r="957">
          <cell r="E957"/>
        </row>
        <row r="958">
          <cell r="E958"/>
        </row>
        <row r="959">
          <cell r="E959"/>
        </row>
        <row r="960">
          <cell r="E960"/>
        </row>
        <row r="961">
          <cell r="E961"/>
        </row>
        <row r="962">
          <cell r="E962"/>
        </row>
        <row r="963">
          <cell r="E963"/>
        </row>
        <row r="964">
          <cell r="E964"/>
        </row>
        <row r="965">
          <cell r="E965"/>
        </row>
        <row r="966">
          <cell r="E966"/>
        </row>
        <row r="967">
          <cell r="E967"/>
        </row>
        <row r="968">
          <cell r="E968"/>
        </row>
        <row r="969">
          <cell r="E969"/>
        </row>
        <row r="970">
          <cell r="E970"/>
        </row>
        <row r="971">
          <cell r="E971"/>
        </row>
        <row r="972">
          <cell r="E972"/>
        </row>
        <row r="973">
          <cell r="E973"/>
        </row>
        <row r="974">
          <cell r="E974"/>
        </row>
        <row r="975">
          <cell r="E975"/>
        </row>
        <row r="976">
          <cell r="E976"/>
        </row>
        <row r="977">
          <cell r="E977"/>
        </row>
        <row r="978">
          <cell r="E978"/>
        </row>
        <row r="979">
          <cell r="E979"/>
        </row>
        <row r="980">
          <cell r="E980"/>
        </row>
        <row r="981">
          <cell r="E981"/>
        </row>
        <row r="982">
          <cell r="E982"/>
        </row>
        <row r="983">
          <cell r="E983"/>
        </row>
        <row r="984">
          <cell r="E984"/>
        </row>
        <row r="985">
          <cell r="E985"/>
        </row>
        <row r="986">
          <cell r="E986"/>
        </row>
        <row r="987">
          <cell r="E987"/>
        </row>
        <row r="988">
          <cell r="E988"/>
        </row>
        <row r="989">
          <cell r="E989"/>
        </row>
        <row r="990">
          <cell r="E990"/>
        </row>
        <row r="991">
          <cell r="E991"/>
        </row>
        <row r="992">
          <cell r="E992"/>
        </row>
        <row r="993">
          <cell r="E993"/>
        </row>
        <row r="994">
          <cell r="E994"/>
        </row>
        <row r="995">
          <cell r="E995"/>
        </row>
        <row r="996">
          <cell r="E996"/>
        </row>
        <row r="997">
          <cell r="E997"/>
        </row>
        <row r="998">
          <cell r="E998"/>
        </row>
        <row r="999">
          <cell r="E999"/>
        </row>
        <row r="1000">
          <cell r="E1000"/>
        </row>
        <row r="1001">
          <cell r="E1001"/>
        </row>
        <row r="1002">
          <cell r="E1002"/>
        </row>
        <row r="1003">
          <cell r="E1003"/>
        </row>
        <row r="1004">
          <cell r="E1004"/>
        </row>
        <row r="1005">
          <cell r="E1005"/>
        </row>
        <row r="1006">
          <cell r="E1006"/>
        </row>
        <row r="1007">
          <cell r="E1007"/>
        </row>
        <row r="1008">
          <cell r="E1008"/>
        </row>
        <row r="1009">
          <cell r="E1009"/>
        </row>
        <row r="1010">
          <cell r="E1010"/>
        </row>
        <row r="1011">
          <cell r="E1011"/>
        </row>
        <row r="1012">
          <cell r="E1012"/>
        </row>
        <row r="1013">
          <cell r="E1013"/>
        </row>
        <row r="1014">
          <cell r="E1014"/>
        </row>
      </sheetData>
      <sheetData sheetId="3"/>
      <sheetData sheetId="4">
        <row r="13">
          <cell r="U13" t="str">
            <v>Elijah Paul Ramos</v>
          </cell>
        </row>
        <row r="14">
          <cell r="U14">
            <v>82374.379999999976</v>
          </cell>
        </row>
        <row r="15">
          <cell r="R15">
            <v>35775.960000000021</v>
          </cell>
        </row>
        <row r="16">
          <cell r="R16">
            <v>15536.639999999985</v>
          </cell>
        </row>
        <row r="17">
          <cell r="R17">
            <v>9058.1700000000128</v>
          </cell>
        </row>
        <row r="18">
          <cell r="R18">
            <v>3740.4200000000128</v>
          </cell>
        </row>
        <row r="19">
          <cell r="R19">
            <v>1904.359999999986</v>
          </cell>
        </row>
        <row r="20">
          <cell r="R20">
            <v>1486.7800000000061</v>
          </cell>
        </row>
        <row r="21">
          <cell r="R21">
            <v>970.68000000000029</v>
          </cell>
        </row>
        <row r="22">
          <cell r="R22">
            <v>821.64000000000669</v>
          </cell>
        </row>
        <row r="23">
          <cell r="R23">
            <v>359.37999999999738</v>
          </cell>
        </row>
        <row r="24">
          <cell r="R24">
            <v>-213.77999999999884</v>
          </cell>
        </row>
        <row r="25">
          <cell r="R25">
            <v>-643.11000000001513</v>
          </cell>
        </row>
        <row r="26">
          <cell r="R26">
            <v>-708.29000000000087</v>
          </cell>
        </row>
        <row r="27">
          <cell r="R27">
            <v>-715.12000000000262</v>
          </cell>
        </row>
        <row r="28">
          <cell r="R28">
            <v>-903.32000000000698</v>
          </cell>
        </row>
        <row r="29">
          <cell r="R29">
            <v>-1012.9299999999967</v>
          </cell>
        </row>
        <row r="30">
          <cell r="R30">
            <v>-1108.5999999999985</v>
          </cell>
        </row>
        <row r="31">
          <cell r="R31">
            <v>-1545.1800000000003</v>
          </cell>
        </row>
        <row r="32">
          <cell r="R32">
            <v>-1874.8800000000047</v>
          </cell>
        </row>
        <row r="33">
          <cell r="R33">
            <v>-2922.2708064516191</v>
          </cell>
        </row>
        <row r="34">
          <cell r="R34">
            <v>-23641.75</v>
          </cell>
        </row>
        <row r="35">
          <cell r="R35"/>
        </row>
        <row r="36">
          <cell r="R36"/>
        </row>
        <row r="37">
          <cell r="R37"/>
        </row>
        <row r="38">
          <cell r="R38"/>
        </row>
        <row r="39">
          <cell r="R39"/>
        </row>
        <row r="40">
          <cell r="R40"/>
        </row>
        <row r="41">
          <cell r="R41"/>
        </row>
        <row r="42">
          <cell r="R42"/>
        </row>
        <row r="43">
          <cell r="R43"/>
        </row>
        <row r="44">
          <cell r="R44"/>
        </row>
        <row r="45">
          <cell r="R45"/>
        </row>
        <row r="46">
          <cell r="R46"/>
        </row>
        <row r="47">
          <cell r="R47"/>
        </row>
        <row r="48">
          <cell r="R48"/>
        </row>
        <row r="49">
          <cell r="R49"/>
        </row>
        <row r="50">
          <cell r="R50"/>
        </row>
        <row r="51">
          <cell r="R51"/>
        </row>
        <row r="52">
          <cell r="R52"/>
        </row>
        <row r="53">
          <cell r="R53"/>
        </row>
        <row r="54">
          <cell r="R54"/>
        </row>
        <row r="55">
          <cell r="R55"/>
        </row>
        <row r="56">
          <cell r="R56"/>
        </row>
        <row r="57">
          <cell r="R57"/>
        </row>
        <row r="58">
          <cell r="R58"/>
        </row>
        <row r="59">
          <cell r="R59"/>
        </row>
        <row r="60">
          <cell r="R60"/>
        </row>
        <row r="61">
          <cell r="R61"/>
        </row>
        <row r="62">
          <cell r="R62"/>
        </row>
        <row r="63">
          <cell r="R63"/>
        </row>
        <row r="64">
          <cell r="R64"/>
        </row>
        <row r="65">
          <cell r="R65"/>
        </row>
        <row r="66">
          <cell r="R66"/>
        </row>
        <row r="67">
          <cell r="R67"/>
        </row>
        <row r="68">
          <cell r="R68"/>
        </row>
        <row r="69">
          <cell r="R69"/>
        </row>
        <row r="70">
          <cell r="R70"/>
        </row>
        <row r="71">
          <cell r="R71"/>
        </row>
        <row r="72">
          <cell r="R72"/>
        </row>
        <row r="73">
          <cell r="R73"/>
        </row>
        <row r="74">
          <cell r="R74"/>
        </row>
        <row r="75">
          <cell r="R75"/>
        </row>
        <row r="76">
          <cell r="R76"/>
        </row>
        <row r="77">
          <cell r="R77"/>
        </row>
        <row r="78">
          <cell r="R78"/>
        </row>
        <row r="79">
          <cell r="R79"/>
        </row>
        <row r="80">
          <cell r="R80"/>
        </row>
        <row r="81">
          <cell r="R81"/>
        </row>
        <row r="82">
          <cell r="R82"/>
        </row>
        <row r="83">
          <cell r="R83"/>
        </row>
        <row r="84">
          <cell r="R84"/>
        </row>
        <row r="85">
          <cell r="R85"/>
        </row>
        <row r="86">
          <cell r="R86"/>
        </row>
        <row r="87">
          <cell r="R87"/>
        </row>
        <row r="88">
          <cell r="R88"/>
        </row>
        <row r="89">
          <cell r="R89"/>
        </row>
        <row r="90">
          <cell r="R90"/>
        </row>
        <row r="91">
          <cell r="R91"/>
        </row>
        <row r="92">
          <cell r="R92"/>
        </row>
        <row r="93">
          <cell r="R93"/>
        </row>
        <row r="94">
          <cell r="R94"/>
        </row>
        <row r="95">
          <cell r="R95"/>
        </row>
        <row r="96">
          <cell r="R96"/>
        </row>
        <row r="97">
          <cell r="R97"/>
        </row>
        <row r="98">
          <cell r="R98"/>
        </row>
        <row r="99">
          <cell r="R99"/>
        </row>
        <row r="100">
          <cell r="R100"/>
        </row>
        <row r="101">
          <cell r="R101"/>
        </row>
        <row r="102">
          <cell r="R102"/>
        </row>
        <row r="103">
          <cell r="R103"/>
        </row>
        <row r="104">
          <cell r="R104"/>
        </row>
        <row r="105">
          <cell r="R105"/>
        </row>
        <row r="106">
          <cell r="R106"/>
        </row>
        <row r="107">
          <cell r="R107"/>
        </row>
        <row r="108">
          <cell r="R108"/>
        </row>
        <row r="109">
          <cell r="R109"/>
        </row>
        <row r="110">
          <cell r="R110"/>
        </row>
        <row r="111">
          <cell r="R111"/>
        </row>
        <row r="112">
          <cell r="R112"/>
        </row>
        <row r="113">
          <cell r="R113"/>
        </row>
        <row r="114">
          <cell r="R114"/>
        </row>
      </sheetData>
      <sheetData sheetId="5"/>
      <sheetData sheetId="6">
        <row r="6">
          <cell r="AA6">
            <v>158006.54919354827</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46631.769379999998</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0</v>
          </cell>
        </row>
        <row r="57">
          <cell r="I57">
            <v>0</v>
          </cell>
        </row>
        <row r="58">
          <cell r="I58">
            <v>0</v>
          </cell>
        </row>
        <row r="59">
          <cell r="I59">
            <v>0</v>
          </cell>
        </row>
        <row r="60">
          <cell r="I60">
            <v>0</v>
          </cell>
        </row>
        <row r="61">
          <cell r="I61">
            <v>0</v>
          </cell>
        </row>
        <row r="62">
          <cell r="I62">
            <v>0</v>
          </cell>
        </row>
        <row r="63">
          <cell r="I63">
            <v>0</v>
          </cell>
        </row>
        <row r="64">
          <cell r="I64">
            <v>0</v>
          </cell>
        </row>
        <row r="65">
          <cell r="I65">
            <v>0</v>
          </cell>
        </row>
        <row r="66">
          <cell r="I66">
            <v>0</v>
          </cell>
        </row>
        <row r="67">
          <cell r="I67">
            <v>0</v>
          </cell>
        </row>
        <row r="68">
          <cell r="I68">
            <v>0</v>
          </cell>
        </row>
        <row r="69">
          <cell r="I69">
            <v>0</v>
          </cell>
        </row>
        <row r="70">
          <cell r="I70">
            <v>0</v>
          </cell>
        </row>
        <row r="71">
          <cell r="I71">
            <v>0</v>
          </cell>
        </row>
        <row r="72">
          <cell r="I72">
            <v>0</v>
          </cell>
        </row>
        <row r="73">
          <cell r="I73">
            <v>0</v>
          </cell>
        </row>
        <row r="74">
          <cell r="I74">
            <v>0</v>
          </cell>
        </row>
        <row r="75">
          <cell r="I75">
            <v>0</v>
          </cell>
        </row>
        <row r="76">
          <cell r="I76">
            <v>0</v>
          </cell>
        </row>
        <row r="77">
          <cell r="I77">
            <v>0</v>
          </cell>
        </row>
        <row r="78">
          <cell r="I78">
            <v>0</v>
          </cell>
        </row>
        <row r="79">
          <cell r="I79">
            <v>0</v>
          </cell>
        </row>
        <row r="80">
          <cell r="I80">
            <v>0</v>
          </cell>
        </row>
        <row r="81">
          <cell r="I81">
            <v>0</v>
          </cell>
        </row>
        <row r="82">
          <cell r="I82">
            <v>0</v>
          </cell>
        </row>
        <row r="83">
          <cell r="I83">
            <v>0</v>
          </cell>
        </row>
        <row r="84">
          <cell r="I84">
            <v>0</v>
          </cell>
        </row>
        <row r="85">
          <cell r="I85">
            <v>0</v>
          </cell>
        </row>
        <row r="86">
          <cell r="I86">
            <v>0</v>
          </cell>
        </row>
        <row r="87">
          <cell r="I87">
            <v>0</v>
          </cell>
        </row>
        <row r="88">
          <cell r="I88">
            <v>0</v>
          </cell>
        </row>
        <row r="89">
          <cell r="I89">
            <v>0</v>
          </cell>
        </row>
        <row r="90">
          <cell r="I90">
            <v>0</v>
          </cell>
        </row>
        <row r="91">
          <cell r="I91">
            <v>0</v>
          </cell>
        </row>
        <row r="92">
          <cell r="I92">
            <v>0</v>
          </cell>
        </row>
        <row r="93">
          <cell r="I93">
            <v>0</v>
          </cell>
        </row>
        <row r="94">
          <cell r="I94">
            <v>0</v>
          </cell>
        </row>
        <row r="95">
          <cell r="I95">
            <v>0</v>
          </cell>
        </row>
        <row r="96">
          <cell r="I96">
            <v>0</v>
          </cell>
        </row>
        <row r="97">
          <cell r="I97">
            <v>0</v>
          </cell>
        </row>
        <row r="98">
          <cell r="I98">
            <v>0</v>
          </cell>
        </row>
        <row r="99">
          <cell r="I99">
            <v>0</v>
          </cell>
        </row>
        <row r="100">
          <cell r="I100">
            <v>0</v>
          </cell>
        </row>
        <row r="101">
          <cell r="I101">
            <v>0</v>
          </cell>
        </row>
        <row r="102">
          <cell r="I102">
            <v>0</v>
          </cell>
        </row>
        <row r="103">
          <cell r="I103">
            <v>0</v>
          </cell>
        </row>
        <row r="104">
          <cell r="I104">
            <v>0</v>
          </cell>
        </row>
        <row r="105">
          <cell r="I105">
            <v>0</v>
          </cell>
        </row>
        <row r="106">
          <cell r="I106">
            <v>0</v>
          </cell>
        </row>
        <row r="107">
          <cell r="I107">
            <v>0</v>
          </cell>
        </row>
        <row r="108">
          <cell r="I108">
            <v>0</v>
          </cell>
        </row>
        <row r="109">
          <cell r="I109">
            <v>0</v>
          </cell>
        </row>
        <row r="110">
          <cell r="I110">
            <v>0</v>
          </cell>
        </row>
        <row r="111">
          <cell r="I111">
            <v>0</v>
          </cell>
        </row>
        <row r="112">
          <cell r="I112">
            <v>0</v>
          </cell>
        </row>
        <row r="113">
          <cell r="I113">
            <v>0</v>
          </cell>
        </row>
        <row r="114">
          <cell r="I114">
            <v>0</v>
          </cell>
        </row>
        <row r="115">
          <cell r="I115">
            <v>0</v>
          </cell>
        </row>
        <row r="116">
          <cell r="I116">
            <v>0</v>
          </cell>
        </row>
        <row r="117">
          <cell r="I117">
            <v>0</v>
          </cell>
        </row>
        <row r="118">
          <cell r="I118">
            <v>0</v>
          </cell>
        </row>
        <row r="119">
          <cell r="I119">
            <v>0</v>
          </cell>
        </row>
        <row r="120">
          <cell r="I120">
            <v>0</v>
          </cell>
        </row>
        <row r="121">
          <cell r="I121">
            <v>0</v>
          </cell>
        </row>
        <row r="122">
          <cell r="I122">
            <v>0</v>
          </cell>
        </row>
        <row r="123">
          <cell r="I123">
            <v>0</v>
          </cell>
        </row>
        <row r="124">
          <cell r="I124">
            <v>0</v>
          </cell>
        </row>
        <row r="125">
          <cell r="I125">
            <v>0</v>
          </cell>
        </row>
        <row r="126">
          <cell r="I126">
            <v>0</v>
          </cell>
        </row>
        <row r="127">
          <cell r="I127">
            <v>0</v>
          </cell>
        </row>
        <row r="128">
          <cell r="I128">
            <v>0</v>
          </cell>
        </row>
        <row r="129">
          <cell r="I129">
            <v>0</v>
          </cell>
        </row>
        <row r="130">
          <cell r="I130">
            <v>0</v>
          </cell>
        </row>
        <row r="131">
          <cell r="I131">
            <v>0</v>
          </cell>
        </row>
        <row r="132">
          <cell r="I132">
            <v>0</v>
          </cell>
        </row>
        <row r="133">
          <cell r="I133">
            <v>0</v>
          </cell>
        </row>
        <row r="134">
          <cell r="I134">
            <v>0</v>
          </cell>
        </row>
        <row r="135">
          <cell r="I135">
            <v>0</v>
          </cell>
        </row>
        <row r="136">
          <cell r="I136">
            <v>0</v>
          </cell>
        </row>
        <row r="137">
          <cell r="I137">
            <v>0</v>
          </cell>
        </row>
        <row r="138">
          <cell r="I138">
            <v>0</v>
          </cell>
        </row>
        <row r="139">
          <cell r="I139">
            <v>0</v>
          </cell>
        </row>
        <row r="140">
          <cell r="I140">
            <v>0</v>
          </cell>
        </row>
        <row r="141">
          <cell r="I141">
            <v>0</v>
          </cell>
        </row>
        <row r="142">
          <cell r="I142">
            <v>0</v>
          </cell>
        </row>
        <row r="143">
          <cell r="I143">
            <v>0</v>
          </cell>
        </row>
        <row r="144">
          <cell r="I144">
            <v>0</v>
          </cell>
        </row>
        <row r="145">
          <cell r="I145">
            <v>0</v>
          </cell>
        </row>
        <row r="146">
          <cell r="I146">
            <v>0</v>
          </cell>
        </row>
        <row r="147">
          <cell r="I147">
            <v>0</v>
          </cell>
        </row>
        <row r="148">
          <cell r="I148">
            <v>0</v>
          </cell>
        </row>
        <row r="149">
          <cell r="I149">
            <v>0</v>
          </cell>
        </row>
        <row r="150">
          <cell r="I150">
            <v>0</v>
          </cell>
        </row>
        <row r="151">
          <cell r="I151">
            <v>0</v>
          </cell>
        </row>
        <row r="152">
          <cell r="I152">
            <v>0</v>
          </cell>
        </row>
        <row r="153">
          <cell r="I153">
            <v>0</v>
          </cell>
        </row>
        <row r="154">
          <cell r="I154">
            <v>0</v>
          </cell>
        </row>
        <row r="155">
          <cell r="I155">
            <v>0</v>
          </cell>
        </row>
        <row r="156">
          <cell r="I156">
            <v>0</v>
          </cell>
        </row>
        <row r="157">
          <cell r="I157">
            <v>0</v>
          </cell>
        </row>
        <row r="158">
          <cell r="I158">
            <v>0</v>
          </cell>
        </row>
        <row r="159">
          <cell r="I159">
            <v>0</v>
          </cell>
        </row>
        <row r="160">
          <cell r="I160">
            <v>0</v>
          </cell>
        </row>
        <row r="161">
          <cell r="I161">
            <v>0</v>
          </cell>
        </row>
        <row r="162">
          <cell r="I162">
            <v>0</v>
          </cell>
        </row>
        <row r="163">
          <cell r="I163">
            <v>0</v>
          </cell>
        </row>
        <row r="164">
          <cell r="I164">
            <v>0</v>
          </cell>
        </row>
      </sheetData>
      <sheetData sheetId="7">
        <row r="4">
          <cell r="U4" t="str">
            <v>1-2017 to 4-2018</v>
          </cell>
        </row>
        <row r="22">
          <cell r="T22" t="str">
            <v>1-2017 to 4-2018</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ashboard"/>
      <sheetName val="Trade Log"/>
      <sheetName val="Trade Review"/>
      <sheetName val="Sheet1"/>
      <sheetName val="Stock Position"/>
      <sheetName val="Monthly Report"/>
      <sheetName val="Bank Transfers"/>
      <sheetName val="Dividends"/>
      <sheetName val="Trade Plan"/>
      <sheetName val="Archive &amp; Settings"/>
    </sheetNames>
    <sheetDataSet>
      <sheetData sheetId="0"/>
      <sheetData sheetId="1"/>
      <sheetData sheetId="2">
        <row r="2">
          <cell r="F2" t="str">
            <v>Bryan Dawi</v>
          </cell>
        </row>
        <row r="15">
          <cell r="E15" t="str">
            <v>ANI</v>
          </cell>
        </row>
        <row r="16">
          <cell r="E16" t="str">
            <v>BPI</v>
          </cell>
        </row>
        <row r="17">
          <cell r="E17" t="str">
            <v>SECB</v>
          </cell>
        </row>
        <row r="18">
          <cell r="E18" t="str">
            <v>POPI</v>
          </cell>
        </row>
        <row r="19">
          <cell r="E19" t="str">
            <v>SECB</v>
          </cell>
        </row>
        <row r="20">
          <cell r="E20" t="str">
            <v>TEL</v>
          </cell>
        </row>
        <row r="21">
          <cell r="E21" t="str">
            <v>MPI</v>
          </cell>
        </row>
        <row r="22">
          <cell r="E22" t="str">
            <v>GLO</v>
          </cell>
        </row>
        <row r="23">
          <cell r="E23" t="str">
            <v>FNI</v>
          </cell>
        </row>
        <row r="24">
          <cell r="E24" t="str">
            <v>PXP</v>
          </cell>
        </row>
        <row r="25">
          <cell r="E25" t="str">
            <v>ION</v>
          </cell>
        </row>
        <row r="26">
          <cell r="E26" t="str">
            <v>SM</v>
          </cell>
        </row>
        <row r="27">
          <cell r="E27" t="str">
            <v>SMPH</v>
          </cell>
        </row>
        <row r="28">
          <cell r="E28" t="str">
            <v>AEV</v>
          </cell>
        </row>
        <row r="29">
          <cell r="E29" t="str">
            <v>HOUSE</v>
          </cell>
        </row>
        <row r="30">
          <cell r="E30" t="str">
            <v>PCOR</v>
          </cell>
        </row>
        <row r="31">
          <cell r="E31" t="str">
            <v>SECB</v>
          </cell>
        </row>
        <row r="32">
          <cell r="E32" t="str">
            <v>NOW</v>
          </cell>
        </row>
        <row r="33">
          <cell r="E33" t="str">
            <v>CPG</v>
          </cell>
        </row>
        <row r="34">
          <cell r="E34" t="str">
            <v>AEV</v>
          </cell>
        </row>
        <row r="35">
          <cell r="E35" t="str">
            <v>MPI</v>
          </cell>
        </row>
        <row r="36">
          <cell r="E36" t="str">
            <v>RLC</v>
          </cell>
        </row>
        <row r="37">
          <cell r="E37" t="str">
            <v>APX</v>
          </cell>
        </row>
        <row r="38">
          <cell r="E38" t="str">
            <v>AP</v>
          </cell>
        </row>
        <row r="39">
          <cell r="E39" t="str">
            <v>MPI</v>
          </cell>
        </row>
        <row r="40">
          <cell r="E40" t="str">
            <v>MRC</v>
          </cell>
        </row>
        <row r="41">
          <cell r="E41" t="str">
            <v>TEL</v>
          </cell>
        </row>
        <row r="42">
          <cell r="E42" t="str">
            <v>MRC</v>
          </cell>
        </row>
        <row r="43">
          <cell r="E43" t="str">
            <v>PXP</v>
          </cell>
        </row>
        <row r="44">
          <cell r="E44" t="str">
            <v>RWM</v>
          </cell>
        </row>
        <row r="45">
          <cell r="E45" t="str">
            <v>VITA</v>
          </cell>
        </row>
        <row r="46">
          <cell r="E46" t="str">
            <v>BLOOM</v>
          </cell>
        </row>
        <row r="47">
          <cell r="E47" t="str">
            <v>JFC</v>
          </cell>
        </row>
        <row r="48">
          <cell r="E48" t="str">
            <v>APX</v>
          </cell>
        </row>
        <row r="49">
          <cell r="E49" t="str">
            <v>VITA</v>
          </cell>
        </row>
        <row r="50">
          <cell r="E50" t="str">
            <v>VUL</v>
          </cell>
        </row>
        <row r="51">
          <cell r="E51" t="str">
            <v>MPI</v>
          </cell>
        </row>
        <row r="52">
          <cell r="E52" t="str">
            <v>MPI</v>
          </cell>
        </row>
        <row r="53">
          <cell r="E53" t="str">
            <v>MER</v>
          </cell>
        </row>
        <row r="54">
          <cell r="E54" t="str">
            <v>PCOR</v>
          </cell>
        </row>
        <row r="55">
          <cell r="E55" t="str">
            <v>ALI</v>
          </cell>
        </row>
        <row r="56">
          <cell r="E56" t="str">
            <v>JFC</v>
          </cell>
        </row>
        <row r="57">
          <cell r="E57" t="str">
            <v>AC</v>
          </cell>
        </row>
        <row r="58">
          <cell r="E58" t="str">
            <v>ANI</v>
          </cell>
        </row>
        <row r="59">
          <cell r="E59" t="str">
            <v>VLL</v>
          </cell>
        </row>
        <row r="60">
          <cell r="E60" t="str">
            <v>MPI</v>
          </cell>
        </row>
        <row r="61">
          <cell r="E61" t="str">
            <v>VUL</v>
          </cell>
        </row>
        <row r="62">
          <cell r="E62" t="str">
            <v>AC</v>
          </cell>
        </row>
        <row r="63">
          <cell r="E63" t="str">
            <v>MBT</v>
          </cell>
        </row>
        <row r="64">
          <cell r="E64" t="str">
            <v>MRC</v>
          </cell>
        </row>
        <row r="65">
          <cell r="E65" t="str">
            <v>RWM</v>
          </cell>
        </row>
        <row r="66">
          <cell r="E66" t="str">
            <v>BLOOM</v>
          </cell>
        </row>
        <row r="67">
          <cell r="E67" t="str">
            <v>SM</v>
          </cell>
        </row>
        <row r="68">
          <cell r="E68" t="str">
            <v>PXP</v>
          </cell>
        </row>
        <row r="69">
          <cell r="E69" t="str">
            <v>FNI</v>
          </cell>
        </row>
        <row r="70">
          <cell r="E70" t="str">
            <v>MRC</v>
          </cell>
        </row>
        <row r="71">
          <cell r="E71" t="str">
            <v>ALI</v>
          </cell>
        </row>
        <row r="72">
          <cell r="E72" t="str">
            <v>RLC</v>
          </cell>
        </row>
        <row r="73">
          <cell r="E73" t="str">
            <v>NOW</v>
          </cell>
        </row>
        <row r="74">
          <cell r="E74" t="str">
            <v>ION</v>
          </cell>
        </row>
        <row r="75">
          <cell r="E75" t="str">
            <v>ALI</v>
          </cell>
        </row>
        <row r="76">
          <cell r="E76" t="str">
            <v>RLC</v>
          </cell>
        </row>
        <row r="77">
          <cell r="E77" t="str">
            <v>ION</v>
          </cell>
        </row>
        <row r="78">
          <cell r="E78" t="str">
            <v>PCOR</v>
          </cell>
        </row>
        <row r="79">
          <cell r="E79" t="str">
            <v>RWM</v>
          </cell>
        </row>
        <row r="80">
          <cell r="E80" t="str">
            <v>NOW</v>
          </cell>
        </row>
        <row r="81">
          <cell r="E81" t="str">
            <v>BRN</v>
          </cell>
        </row>
        <row r="82">
          <cell r="E82" t="str">
            <v>AC</v>
          </cell>
        </row>
        <row r="83">
          <cell r="E83" t="str">
            <v>ATN</v>
          </cell>
        </row>
        <row r="84">
          <cell r="E84" t="str">
            <v>ION</v>
          </cell>
        </row>
        <row r="85">
          <cell r="E85" t="str">
            <v>ALI</v>
          </cell>
        </row>
        <row r="86">
          <cell r="E86" t="str">
            <v>ATN</v>
          </cell>
        </row>
        <row r="87">
          <cell r="E87" t="str">
            <v>MBT</v>
          </cell>
        </row>
        <row r="88">
          <cell r="E88" t="str">
            <v>RLC</v>
          </cell>
        </row>
        <row r="89">
          <cell r="E89" t="str">
            <v>AP</v>
          </cell>
        </row>
        <row r="90">
          <cell r="E90" t="str">
            <v>FLI</v>
          </cell>
        </row>
        <row r="91">
          <cell r="E91" t="str">
            <v>GLO</v>
          </cell>
        </row>
        <row r="92">
          <cell r="E92" t="str">
            <v>PXP</v>
          </cell>
        </row>
        <row r="93">
          <cell r="E93" t="str">
            <v>FLI</v>
          </cell>
        </row>
        <row r="94">
          <cell r="E94" t="str">
            <v>HOUSE</v>
          </cell>
        </row>
        <row r="95">
          <cell r="E95" t="str">
            <v>SMPH</v>
          </cell>
        </row>
        <row r="96">
          <cell r="E96" t="str">
            <v>VLL</v>
          </cell>
        </row>
        <row r="97">
          <cell r="E97" t="str">
            <v>CPM</v>
          </cell>
        </row>
        <row r="98">
          <cell r="E98" t="str">
            <v>PGOLD</v>
          </cell>
        </row>
        <row r="99">
          <cell r="E99" t="str">
            <v>VITA</v>
          </cell>
        </row>
        <row r="100">
          <cell r="E100" t="str">
            <v>ATN</v>
          </cell>
        </row>
        <row r="101">
          <cell r="E101" t="str">
            <v>VUL</v>
          </cell>
        </row>
        <row r="102">
          <cell r="E102" t="str">
            <v>MPI</v>
          </cell>
        </row>
        <row r="103">
          <cell r="E103" t="str">
            <v>JGS</v>
          </cell>
        </row>
        <row r="104">
          <cell r="E104" t="str">
            <v>PXP</v>
          </cell>
        </row>
        <row r="105">
          <cell r="E105" t="str">
            <v>AP</v>
          </cell>
        </row>
        <row r="106">
          <cell r="E106" t="str">
            <v>MPI</v>
          </cell>
        </row>
        <row r="107">
          <cell r="E107" t="str">
            <v>PXP</v>
          </cell>
        </row>
        <row r="108">
          <cell r="E108" t="str">
            <v>VUL</v>
          </cell>
        </row>
        <row r="109">
          <cell r="E109" t="str">
            <v>SECB</v>
          </cell>
        </row>
        <row r="110">
          <cell r="E110" t="str">
            <v>BRN</v>
          </cell>
        </row>
        <row r="111">
          <cell r="E111" t="str">
            <v>NIKL</v>
          </cell>
        </row>
        <row r="112">
          <cell r="E112" t="str">
            <v>VITA</v>
          </cell>
        </row>
        <row r="113">
          <cell r="E113" t="str">
            <v>AEV</v>
          </cell>
        </row>
        <row r="114">
          <cell r="E114" t="str">
            <v>PGOLD</v>
          </cell>
        </row>
        <row r="115">
          <cell r="E115" t="str">
            <v>DD</v>
          </cell>
        </row>
        <row r="116">
          <cell r="E116" t="str">
            <v>SMPH</v>
          </cell>
        </row>
        <row r="117">
          <cell r="E117" t="str">
            <v>VUL</v>
          </cell>
        </row>
        <row r="118">
          <cell r="E118" t="str">
            <v>VUL</v>
          </cell>
        </row>
        <row r="119">
          <cell r="E119" t="str">
            <v>NOW</v>
          </cell>
        </row>
        <row r="120">
          <cell r="E120" t="str">
            <v>GLO</v>
          </cell>
        </row>
        <row r="121">
          <cell r="E121" t="str">
            <v>JFC</v>
          </cell>
        </row>
        <row r="122">
          <cell r="E122" t="str">
            <v>PGOLD</v>
          </cell>
        </row>
        <row r="123">
          <cell r="E123" t="str">
            <v>GTCAP</v>
          </cell>
        </row>
        <row r="124">
          <cell r="E124" t="str">
            <v>FLI</v>
          </cell>
        </row>
        <row r="125">
          <cell r="E125" t="str">
            <v>MEG</v>
          </cell>
        </row>
        <row r="126">
          <cell r="E126" t="str">
            <v>VUL</v>
          </cell>
        </row>
        <row r="127">
          <cell r="E127" t="str">
            <v>JFC</v>
          </cell>
        </row>
        <row r="128">
          <cell r="E128" t="str">
            <v>MER</v>
          </cell>
        </row>
        <row r="129">
          <cell r="E129" t="str">
            <v>JFC</v>
          </cell>
        </row>
        <row r="130">
          <cell r="E130" t="str">
            <v>LPZ</v>
          </cell>
        </row>
        <row r="131">
          <cell r="E131" t="str">
            <v>MBT</v>
          </cell>
        </row>
        <row r="132">
          <cell r="E132" t="str">
            <v>VUL</v>
          </cell>
        </row>
        <row r="133">
          <cell r="E133" t="str">
            <v>SMPH</v>
          </cell>
        </row>
        <row r="134">
          <cell r="E134" t="str">
            <v>ATN</v>
          </cell>
        </row>
        <row r="135">
          <cell r="E135" t="str">
            <v>MEG</v>
          </cell>
        </row>
        <row r="136">
          <cell r="E136" t="str">
            <v>GTCAP</v>
          </cell>
        </row>
        <row r="137">
          <cell r="E137" t="str">
            <v>MBT</v>
          </cell>
        </row>
        <row r="138">
          <cell r="E138" t="str">
            <v>AC</v>
          </cell>
        </row>
        <row r="139">
          <cell r="E139" t="str">
            <v>MWIDE</v>
          </cell>
        </row>
        <row r="140">
          <cell r="E140" t="str">
            <v>LPZ</v>
          </cell>
        </row>
        <row r="141">
          <cell r="E141" t="str">
            <v>PCOR</v>
          </cell>
        </row>
        <row r="142">
          <cell r="E142" t="str">
            <v>JGS</v>
          </cell>
        </row>
        <row r="143">
          <cell r="E143" t="str">
            <v>MPI</v>
          </cell>
        </row>
        <row r="144">
          <cell r="E144" t="str">
            <v>MWIDE</v>
          </cell>
        </row>
        <row r="145">
          <cell r="E145" t="str">
            <v>MRC</v>
          </cell>
        </row>
        <row r="146">
          <cell r="E146" t="str">
            <v>MPI</v>
          </cell>
        </row>
        <row r="147">
          <cell r="E147" t="str">
            <v>JFC</v>
          </cell>
        </row>
        <row r="148">
          <cell r="E148" t="str">
            <v>SCC</v>
          </cell>
        </row>
        <row r="149">
          <cell r="E149" t="str">
            <v>MRC</v>
          </cell>
        </row>
        <row r="150">
          <cell r="E150" t="str">
            <v>SECB</v>
          </cell>
        </row>
        <row r="151">
          <cell r="E151" t="str">
            <v>MEG</v>
          </cell>
        </row>
        <row r="152">
          <cell r="E152" t="str">
            <v>PCOR</v>
          </cell>
        </row>
        <row r="153">
          <cell r="E153" t="str">
            <v>AP</v>
          </cell>
        </row>
        <row r="154">
          <cell r="E154" t="str">
            <v>BPI</v>
          </cell>
        </row>
        <row r="155">
          <cell r="E155" t="str">
            <v>SCC</v>
          </cell>
        </row>
        <row r="156">
          <cell r="E156" t="str">
            <v>BRN</v>
          </cell>
        </row>
        <row r="157">
          <cell r="E157" t="str">
            <v>SMC</v>
          </cell>
        </row>
        <row r="158">
          <cell r="E158" t="str">
            <v>DNL</v>
          </cell>
        </row>
        <row r="159">
          <cell r="E159" t="str">
            <v>BLOOM</v>
          </cell>
        </row>
        <row r="160">
          <cell r="E160" t="str">
            <v>VLL</v>
          </cell>
        </row>
        <row r="161">
          <cell r="E161" t="str">
            <v>AP</v>
          </cell>
        </row>
        <row r="162">
          <cell r="E162" t="str">
            <v>EW</v>
          </cell>
        </row>
        <row r="163">
          <cell r="E163" t="str">
            <v>GTCAP</v>
          </cell>
        </row>
        <row r="164">
          <cell r="E164" t="str">
            <v>FLI</v>
          </cell>
        </row>
        <row r="165">
          <cell r="E165" t="str">
            <v>AP</v>
          </cell>
        </row>
        <row r="166">
          <cell r="E166" t="str">
            <v>GTCAP</v>
          </cell>
        </row>
        <row r="167">
          <cell r="E167" t="str">
            <v>MEG</v>
          </cell>
        </row>
        <row r="168">
          <cell r="E168" t="str">
            <v>ION</v>
          </cell>
        </row>
        <row r="169">
          <cell r="E169" t="str">
            <v>PGOLD</v>
          </cell>
        </row>
        <row r="170">
          <cell r="E170" t="str">
            <v>GLO</v>
          </cell>
        </row>
        <row r="171">
          <cell r="E171" t="str">
            <v>DNL</v>
          </cell>
        </row>
        <row r="172">
          <cell r="E172" t="str">
            <v>SMPH</v>
          </cell>
        </row>
        <row r="173">
          <cell r="E173" t="str">
            <v>DD</v>
          </cell>
        </row>
        <row r="174">
          <cell r="E174" t="str">
            <v>APX</v>
          </cell>
        </row>
        <row r="175">
          <cell r="E175" t="str">
            <v>MBT</v>
          </cell>
        </row>
        <row r="176">
          <cell r="E176" t="str">
            <v>VITA</v>
          </cell>
        </row>
        <row r="177">
          <cell r="E177" t="str">
            <v>AC</v>
          </cell>
        </row>
        <row r="178">
          <cell r="E178" t="str">
            <v>MEG</v>
          </cell>
        </row>
        <row r="179">
          <cell r="E179" t="str">
            <v>LR</v>
          </cell>
        </row>
        <row r="180">
          <cell r="E180" t="str">
            <v>RWM</v>
          </cell>
        </row>
        <row r="181">
          <cell r="E181" t="str">
            <v>ATN</v>
          </cell>
        </row>
        <row r="182">
          <cell r="E182" t="str">
            <v>AC</v>
          </cell>
        </row>
        <row r="183">
          <cell r="E183" t="str">
            <v>BLOOM</v>
          </cell>
        </row>
        <row r="184">
          <cell r="E184" t="str">
            <v>BPI</v>
          </cell>
        </row>
        <row r="185">
          <cell r="E185" t="str">
            <v>BLOOM</v>
          </cell>
        </row>
        <row r="186">
          <cell r="E186" t="str">
            <v>ION</v>
          </cell>
        </row>
        <row r="187">
          <cell r="E187" t="str">
            <v>SM</v>
          </cell>
        </row>
        <row r="188">
          <cell r="E188" t="str">
            <v>MBT</v>
          </cell>
        </row>
        <row r="189">
          <cell r="E189" t="str">
            <v>AEV</v>
          </cell>
        </row>
        <row r="190">
          <cell r="E190" t="str">
            <v>VUL</v>
          </cell>
        </row>
        <row r="191">
          <cell r="E191" t="str">
            <v>PGOLD</v>
          </cell>
        </row>
        <row r="192">
          <cell r="E192" t="str">
            <v>MEG</v>
          </cell>
        </row>
        <row r="193">
          <cell r="E193" t="str">
            <v>BRN</v>
          </cell>
        </row>
        <row r="194">
          <cell r="E194" t="str">
            <v>MPI</v>
          </cell>
        </row>
        <row r="195">
          <cell r="E195" t="str">
            <v>VITA</v>
          </cell>
        </row>
        <row r="196">
          <cell r="E196" t="str">
            <v>GTCAP</v>
          </cell>
        </row>
        <row r="197">
          <cell r="E197" t="str">
            <v>ALI</v>
          </cell>
        </row>
        <row r="198">
          <cell r="E198" t="str">
            <v>VUL</v>
          </cell>
        </row>
        <row r="199">
          <cell r="E199" t="str">
            <v>AGI</v>
          </cell>
        </row>
        <row r="200">
          <cell r="E200" t="str">
            <v>BLOOM</v>
          </cell>
        </row>
        <row r="201">
          <cell r="E201" t="str">
            <v>VITA</v>
          </cell>
        </row>
        <row r="202">
          <cell r="E202" t="str">
            <v>AGI</v>
          </cell>
        </row>
        <row r="203">
          <cell r="E203" t="str">
            <v>NIKL</v>
          </cell>
        </row>
        <row r="204">
          <cell r="E204" t="str">
            <v>FLI</v>
          </cell>
        </row>
        <row r="205">
          <cell r="E205" t="str">
            <v>DMC</v>
          </cell>
        </row>
        <row r="206">
          <cell r="E206" t="str">
            <v>ATN</v>
          </cell>
        </row>
        <row r="207">
          <cell r="E207" t="str">
            <v>CPG</v>
          </cell>
        </row>
        <row r="208">
          <cell r="E208" t="str">
            <v>ATN</v>
          </cell>
        </row>
        <row r="209">
          <cell r="E209" t="str">
            <v>ATN</v>
          </cell>
        </row>
        <row r="210">
          <cell r="E210" t="str">
            <v>GTCAP</v>
          </cell>
        </row>
        <row r="211">
          <cell r="E211" t="str">
            <v>MPI</v>
          </cell>
        </row>
        <row r="212">
          <cell r="E212" t="str">
            <v>SM</v>
          </cell>
        </row>
        <row r="213">
          <cell r="E213" t="str">
            <v>JFC</v>
          </cell>
        </row>
        <row r="214">
          <cell r="E214" t="str">
            <v>EW</v>
          </cell>
        </row>
        <row r="215">
          <cell r="E215" t="str">
            <v>CPM</v>
          </cell>
        </row>
        <row r="216">
          <cell r="E216" t="str">
            <v>ALI</v>
          </cell>
        </row>
        <row r="217">
          <cell r="E217" t="str">
            <v>JFC</v>
          </cell>
        </row>
        <row r="218">
          <cell r="E218" t="str">
            <v>VLL</v>
          </cell>
        </row>
        <row r="219">
          <cell r="E219" t="str">
            <v>PRMX</v>
          </cell>
        </row>
        <row r="220">
          <cell r="E220" t="str">
            <v>PRMX</v>
          </cell>
        </row>
        <row r="221">
          <cell r="E221" t="str">
            <v>MWIDE</v>
          </cell>
        </row>
        <row r="222">
          <cell r="E222" t="str">
            <v>ATN</v>
          </cell>
        </row>
        <row r="223">
          <cell r="E223" t="str">
            <v>BRN</v>
          </cell>
        </row>
        <row r="224">
          <cell r="E224" t="str">
            <v>SECB</v>
          </cell>
        </row>
        <row r="225">
          <cell r="E225" t="str">
            <v>ALI</v>
          </cell>
        </row>
        <row r="226">
          <cell r="E226" t="str">
            <v>ATN</v>
          </cell>
        </row>
        <row r="227">
          <cell r="E227" t="str">
            <v>NOW</v>
          </cell>
        </row>
        <row r="228">
          <cell r="E228" t="str">
            <v>ICT</v>
          </cell>
        </row>
        <row r="229">
          <cell r="E229" t="str">
            <v>BLOOM</v>
          </cell>
        </row>
        <row r="230">
          <cell r="E230" t="str">
            <v>NOW</v>
          </cell>
        </row>
        <row r="231">
          <cell r="E231" t="str">
            <v>EW</v>
          </cell>
        </row>
        <row r="232">
          <cell r="E232" t="str">
            <v>IMI</v>
          </cell>
        </row>
        <row r="233">
          <cell r="E233" t="str">
            <v>NOW</v>
          </cell>
        </row>
        <row r="234">
          <cell r="E234" t="str">
            <v>ALI</v>
          </cell>
        </row>
        <row r="235">
          <cell r="E235" t="str">
            <v>EW</v>
          </cell>
        </row>
        <row r="236">
          <cell r="E236" t="str">
            <v>SMC</v>
          </cell>
        </row>
        <row r="237">
          <cell r="E237" t="str">
            <v>LPZ</v>
          </cell>
        </row>
        <row r="238">
          <cell r="E238" t="str">
            <v>AGI</v>
          </cell>
        </row>
        <row r="239">
          <cell r="E239" t="str">
            <v>FNI</v>
          </cell>
        </row>
        <row r="240">
          <cell r="E240" t="str">
            <v>IMI</v>
          </cell>
        </row>
        <row r="241">
          <cell r="E241" t="str">
            <v>ANI</v>
          </cell>
        </row>
        <row r="242">
          <cell r="E242" t="str">
            <v>ICT</v>
          </cell>
        </row>
        <row r="243">
          <cell r="E243" t="str">
            <v>VITA</v>
          </cell>
        </row>
        <row r="244">
          <cell r="E244" t="str">
            <v>CPM</v>
          </cell>
        </row>
        <row r="245">
          <cell r="E245" t="str">
            <v>CPM</v>
          </cell>
        </row>
        <row r="246">
          <cell r="E246" t="str">
            <v>BRN</v>
          </cell>
        </row>
        <row r="247">
          <cell r="E247" t="str">
            <v>LPZ</v>
          </cell>
        </row>
        <row r="248">
          <cell r="E248" t="str">
            <v>AGI</v>
          </cell>
        </row>
        <row r="249">
          <cell r="E249" t="str">
            <v>AGI</v>
          </cell>
        </row>
        <row r="250">
          <cell r="E250" t="str">
            <v>DNL</v>
          </cell>
        </row>
        <row r="251">
          <cell r="E251" t="str">
            <v>AGI</v>
          </cell>
        </row>
        <row r="252">
          <cell r="E252" t="str">
            <v>MWIDE</v>
          </cell>
        </row>
        <row r="253">
          <cell r="E253" t="str">
            <v>AEV</v>
          </cell>
        </row>
        <row r="254">
          <cell r="E254" t="str">
            <v>LPZ</v>
          </cell>
        </row>
        <row r="255">
          <cell r="E255" t="str">
            <v>DNL</v>
          </cell>
        </row>
        <row r="256">
          <cell r="E256" t="str">
            <v>NIKL</v>
          </cell>
        </row>
        <row r="257">
          <cell r="E257" t="str">
            <v>AEV</v>
          </cell>
        </row>
        <row r="258">
          <cell r="E258" t="str">
            <v>NIKL</v>
          </cell>
        </row>
        <row r="259">
          <cell r="E259" t="str">
            <v>CHP</v>
          </cell>
        </row>
        <row r="260">
          <cell r="E260" t="str">
            <v>MWIDE</v>
          </cell>
        </row>
        <row r="261">
          <cell r="E261" t="str">
            <v>NIKL</v>
          </cell>
        </row>
        <row r="262">
          <cell r="E262" t="str">
            <v>MEG</v>
          </cell>
        </row>
        <row r="263">
          <cell r="E263" t="str">
            <v>APX</v>
          </cell>
        </row>
        <row r="264">
          <cell r="E264" t="str">
            <v>TUGS</v>
          </cell>
        </row>
        <row r="265">
          <cell r="E265" t="str">
            <v>RLC</v>
          </cell>
        </row>
        <row r="266">
          <cell r="E266" t="str">
            <v>MWIDE</v>
          </cell>
        </row>
        <row r="267">
          <cell r="E267" t="str">
            <v>SCC</v>
          </cell>
        </row>
        <row r="268">
          <cell r="E268" t="str">
            <v>JFC</v>
          </cell>
        </row>
        <row r="269">
          <cell r="E269" t="str">
            <v>NIKL</v>
          </cell>
        </row>
        <row r="270">
          <cell r="E270" t="str">
            <v>TUGS</v>
          </cell>
        </row>
        <row r="271">
          <cell r="E271" t="str">
            <v>RLC</v>
          </cell>
        </row>
        <row r="272">
          <cell r="E272" t="str">
            <v>SCC</v>
          </cell>
        </row>
        <row r="273">
          <cell r="E273" t="str">
            <v>FNI</v>
          </cell>
        </row>
        <row r="274">
          <cell r="E274" t="str">
            <v>DMC</v>
          </cell>
        </row>
        <row r="275">
          <cell r="E275" t="str">
            <v>SCC</v>
          </cell>
        </row>
        <row r="276">
          <cell r="E276" t="str">
            <v>DMC</v>
          </cell>
        </row>
        <row r="277">
          <cell r="E277" t="str">
            <v>SM</v>
          </cell>
        </row>
        <row r="278">
          <cell r="E278" t="str">
            <v>AP</v>
          </cell>
        </row>
        <row r="279">
          <cell r="E279" t="str">
            <v>CPM</v>
          </cell>
        </row>
        <row r="280">
          <cell r="E280" t="str">
            <v>AEV</v>
          </cell>
        </row>
        <row r="281">
          <cell r="E281" t="str">
            <v>AEV</v>
          </cell>
        </row>
        <row r="282">
          <cell r="E282" t="str">
            <v>SCC</v>
          </cell>
        </row>
        <row r="283">
          <cell r="E283" t="str">
            <v>BLOOM</v>
          </cell>
        </row>
        <row r="284">
          <cell r="E284" t="str">
            <v>APX</v>
          </cell>
        </row>
        <row r="285">
          <cell r="E285" t="str">
            <v>APX</v>
          </cell>
        </row>
        <row r="286">
          <cell r="E286" t="str">
            <v>FNI</v>
          </cell>
        </row>
        <row r="287">
          <cell r="E287" t="str">
            <v>NIKL</v>
          </cell>
        </row>
        <row r="288">
          <cell r="E288" t="str">
            <v>APX</v>
          </cell>
        </row>
        <row r="289">
          <cell r="E289" t="str">
            <v>FNI</v>
          </cell>
        </row>
        <row r="290">
          <cell r="E290" t="str">
            <v>APX</v>
          </cell>
        </row>
        <row r="291">
          <cell r="E291" t="str">
            <v>PRMX</v>
          </cell>
        </row>
        <row r="292">
          <cell r="E292" t="str">
            <v>SCC</v>
          </cell>
        </row>
        <row r="293">
          <cell r="E293" t="str">
            <v>SCC</v>
          </cell>
        </row>
        <row r="294">
          <cell r="E294" t="str">
            <v>DMC</v>
          </cell>
        </row>
        <row r="295">
          <cell r="E295" t="str">
            <v>SMC</v>
          </cell>
        </row>
        <row r="296">
          <cell r="E296" t="str">
            <v>DMC</v>
          </cell>
        </row>
        <row r="297">
          <cell r="E297" t="str">
            <v>NIKL</v>
          </cell>
        </row>
        <row r="298">
          <cell r="E298" t="str">
            <v>EW</v>
          </cell>
        </row>
        <row r="299">
          <cell r="E299" t="str">
            <v>DMC</v>
          </cell>
        </row>
        <row r="300">
          <cell r="E300" t="str">
            <v>IMI</v>
          </cell>
        </row>
        <row r="301">
          <cell r="E301" t="str">
            <v>LR</v>
          </cell>
        </row>
        <row r="302">
          <cell r="E302" t="str">
            <v>IMI</v>
          </cell>
        </row>
        <row r="303">
          <cell r="E303" t="str">
            <v>ANI</v>
          </cell>
        </row>
        <row r="304">
          <cell r="E304" t="str">
            <v>DNL</v>
          </cell>
        </row>
        <row r="305">
          <cell r="E305" t="str">
            <v>JGS</v>
          </cell>
        </row>
        <row r="306">
          <cell r="E306" t="str">
            <v>SMPH</v>
          </cell>
        </row>
        <row r="307">
          <cell r="E307" t="str">
            <v>CHP</v>
          </cell>
        </row>
        <row r="308">
          <cell r="E308" t="str">
            <v>TUGS</v>
          </cell>
        </row>
        <row r="309">
          <cell r="E309" t="str">
            <v>TUGS</v>
          </cell>
        </row>
        <row r="310">
          <cell r="E310" t="str">
            <v>SMPH</v>
          </cell>
        </row>
        <row r="311">
          <cell r="E311" t="str">
            <v>SMPH</v>
          </cell>
        </row>
        <row r="312">
          <cell r="E312" t="str">
            <v>DNL</v>
          </cell>
        </row>
        <row r="313">
          <cell r="E313" t="str">
            <v>SMC</v>
          </cell>
        </row>
        <row r="314">
          <cell r="E314" t="str">
            <v>ANI</v>
          </cell>
        </row>
        <row r="315">
          <cell r="E315" t="str">
            <v>VUL</v>
          </cell>
        </row>
        <row r="316">
          <cell r="E316" t="str">
            <v>ANI</v>
          </cell>
        </row>
        <row r="317">
          <cell r="E317" t="str">
            <v>ANI</v>
          </cell>
        </row>
        <row r="318">
          <cell r="E318" t="str">
            <v>AGI</v>
          </cell>
        </row>
        <row r="319">
          <cell r="E319" t="str">
            <v>BLOOM</v>
          </cell>
        </row>
        <row r="320">
          <cell r="E320" t="str">
            <v>SCC</v>
          </cell>
        </row>
        <row r="321">
          <cell r="E321" t="str">
            <v>AEV</v>
          </cell>
        </row>
        <row r="322">
          <cell r="E322" t="str">
            <v>NOW</v>
          </cell>
        </row>
        <row r="323">
          <cell r="E323" t="str">
            <v>ION</v>
          </cell>
        </row>
        <row r="324">
          <cell r="E324" t="str">
            <v>SCC</v>
          </cell>
        </row>
        <row r="325">
          <cell r="E325" t="str">
            <v>ATN</v>
          </cell>
        </row>
        <row r="326">
          <cell r="E326" t="str">
            <v>SM</v>
          </cell>
        </row>
        <row r="327">
          <cell r="E327" t="str">
            <v>MEG</v>
          </cell>
        </row>
        <row r="328">
          <cell r="E328" t="str">
            <v>ION</v>
          </cell>
        </row>
        <row r="329">
          <cell r="E329" t="str">
            <v>JGS</v>
          </cell>
        </row>
        <row r="330">
          <cell r="E330" t="str">
            <v>POPI</v>
          </cell>
        </row>
        <row r="331">
          <cell r="E331" t="str">
            <v>IMI</v>
          </cell>
        </row>
        <row r="332">
          <cell r="E332" t="str">
            <v>MER</v>
          </cell>
        </row>
        <row r="333">
          <cell r="E333" t="str">
            <v>MAC</v>
          </cell>
        </row>
        <row r="334">
          <cell r="E334" t="str">
            <v>IMI</v>
          </cell>
        </row>
        <row r="335">
          <cell r="E335" t="str">
            <v>MWIDE</v>
          </cell>
        </row>
        <row r="336">
          <cell r="E336" t="str">
            <v>PRMX</v>
          </cell>
        </row>
        <row r="337">
          <cell r="E337" t="str">
            <v>MRC</v>
          </cell>
        </row>
        <row r="338">
          <cell r="E338" t="str">
            <v>GTCAP</v>
          </cell>
        </row>
        <row r="339">
          <cell r="E339" t="str">
            <v>MER</v>
          </cell>
        </row>
        <row r="340">
          <cell r="E340" t="str">
            <v>ION</v>
          </cell>
        </row>
        <row r="341">
          <cell r="E341" t="str">
            <v>NOW</v>
          </cell>
        </row>
        <row r="342">
          <cell r="E342" t="str">
            <v>GTCAP</v>
          </cell>
        </row>
        <row r="343">
          <cell r="E343" t="str">
            <v>ION</v>
          </cell>
        </row>
        <row r="344">
          <cell r="E344" t="str">
            <v>NOW</v>
          </cell>
        </row>
        <row r="345">
          <cell r="E345" t="str">
            <v>BLOOM</v>
          </cell>
        </row>
        <row r="346">
          <cell r="E346" t="str">
            <v>DD</v>
          </cell>
        </row>
        <row r="347">
          <cell r="E347" t="str">
            <v>MRC</v>
          </cell>
        </row>
        <row r="348">
          <cell r="E348" t="str">
            <v>DNL</v>
          </cell>
        </row>
        <row r="349">
          <cell r="E349" t="str">
            <v>IMI</v>
          </cell>
        </row>
        <row r="350">
          <cell r="E350" t="str">
            <v>DNL</v>
          </cell>
        </row>
        <row r="351">
          <cell r="E351" t="str">
            <v>TEL</v>
          </cell>
        </row>
        <row r="352">
          <cell r="E352" t="str">
            <v>GLO</v>
          </cell>
        </row>
        <row r="353">
          <cell r="E353" t="str">
            <v>ANI</v>
          </cell>
        </row>
        <row r="354">
          <cell r="E354" t="str">
            <v>PGOLD</v>
          </cell>
        </row>
        <row r="355">
          <cell r="E355" t="str">
            <v>ATN</v>
          </cell>
        </row>
        <row r="356">
          <cell r="E356" t="str">
            <v>ATN</v>
          </cell>
        </row>
        <row r="357">
          <cell r="E357" t="str">
            <v>BPI</v>
          </cell>
        </row>
        <row r="358">
          <cell r="E358" t="str">
            <v>MRC</v>
          </cell>
        </row>
        <row r="359">
          <cell r="E359" t="str">
            <v>ALI</v>
          </cell>
        </row>
        <row r="360">
          <cell r="E360" t="str">
            <v>DNL</v>
          </cell>
        </row>
        <row r="361">
          <cell r="E361" t="str">
            <v>MRC</v>
          </cell>
        </row>
        <row r="362">
          <cell r="E362" t="str">
            <v>DMC</v>
          </cell>
        </row>
        <row r="363">
          <cell r="E363" t="str">
            <v>NOW</v>
          </cell>
        </row>
        <row r="364">
          <cell r="E364" t="str">
            <v>MAC</v>
          </cell>
        </row>
        <row r="365">
          <cell r="E365" t="str">
            <v>DNL</v>
          </cell>
        </row>
        <row r="366">
          <cell r="E366" t="str">
            <v>NOW</v>
          </cell>
        </row>
        <row r="367">
          <cell r="E367" t="str">
            <v>MER</v>
          </cell>
        </row>
        <row r="368">
          <cell r="E368" t="str">
            <v>MAC</v>
          </cell>
        </row>
        <row r="369">
          <cell r="E369" t="str">
            <v>ALI</v>
          </cell>
        </row>
        <row r="370">
          <cell r="E370" t="str">
            <v>MWIDE</v>
          </cell>
        </row>
        <row r="371">
          <cell r="E371" t="str">
            <v>AP</v>
          </cell>
        </row>
        <row r="372">
          <cell r="E372" t="str">
            <v>X</v>
          </cell>
        </row>
        <row r="373">
          <cell r="E373" t="str">
            <v>MAC</v>
          </cell>
        </row>
        <row r="374">
          <cell r="E374" t="str">
            <v>IMI</v>
          </cell>
        </row>
        <row r="375">
          <cell r="E375" t="str">
            <v>MPI</v>
          </cell>
        </row>
        <row r="376">
          <cell r="E376" t="str">
            <v>AC</v>
          </cell>
        </row>
        <row r="377">
          <cell r="E377" t="str">
            <v>MPI</v>
          </cell>
        </row>
        <row r="378">
          <cell r="E378" t="str">
            <v>PIZZA</v>
          </cell>
        </row>
        <row r="379">
          <cell r="E379" t="str">
            <v>ATN</v>
          </cell>
        </row>
        <row r="380">
          <cell r="E380" t="str">
            <v>ANI</v>
          </cell>
        </row>
        <row r="381">
          <cell r="E381" t="str">
            <v>NOW</v>
          </cell>
        </row>
        <row r="382">
          <cell r="E382" t="str">
            <v>TEL</v>
          </cell>
        </row>
        <row r="383">
          <cell r="E383" t="str">
            <v>IMI</v>
          </cell>
        </row>
        <row r="384">
          <cell r="E384" t="str">
            <v>ICT</v>
          </cell>
        </row>
        <row r="385">
          <cell r="E385" t="str">
            <v>MRC</v>
          </cell>
        </row>
        <row r="386">
          <cell r="E386" t="str">
            <v>IMI</v>
          </cell>
        </row>
        <row r="387">
          <cell r="E387" t="str">
            <v>X</v>
          </cell>
        </row>
        <row r="388">
          <cell r="E388" t="str">
            <v>EW</v>
          </cell>
        </row>
        <row r="389">
          <cell r="E389" t="str">
            <v>NOW</v>
          </cell>
        </row>
        <row r="390">
          <cell r="E390" t="str">
            <v>MWIDE</v>
          </cell>
        </row>
        <row r="391">
          <cell r="E391" t="str">
            <v>GLO</v>
          </cell>
        </row>
        <row r="392">
          <cell r="E392" t="str">
            <v>PIZZA</v>
          </cell>
        </row>
        <row r="393">
          <cell r="E393" t="str">
            <v>DD</v>
          </cell>
        </row>
        <row r="394">
          <cell r="E394" t="str">
            <v>IMI</v>
          </cell>
        </row>
        <row r="395">
          <cell r="E395" t="str">
            <v>JGS</v>
          </cell>
        </row>
        <row r="396">
          <cell r="E396" t="str">
            <v>LR</v>
          </cell>
        </row>
        <row r="397">
          <cell r="E397" t="str">
            <v>FNI</v>
          </cell>
        </row>
        <row r="398">
          <cell r="E398" t="str">
            <v>BPI</v>
          </cell>
        </row>
        <row r="399">
          <cell r="E399" t="str">
            <v>ICT</v>
          </cell>
        </row>
        <row r="400">
          <cell r="E400" t="str">
            <v>BPI</v>
          </cell>
        </row>
        <row r="401">
          <cell r="E401" t="str">
            <v>ICT</v>
          </cell>
        </row>
        <row r="402">
          <cell r="E402" t="str">
            <v>MRC</v>
          </cell>
        </row>
        <row r="403">
          <cell r="E403" t="str">
            <v>BLOOM</v>
          </cell>
        </row>
        <row r="404">
          <cell r="E404" t="str">
            <v>JGS</v>
          </cell>
        </row>
        <row r="405">
          <cell r="E405" t="str">
            <v>MAC</v>
          </cell>
        </row>
        <row r="406">
          <cell r="E406" t="str">
            <v>SCC</v>
          </cell>
        </row>
        <row r="407">
          <cell r="E407" t="str">
            <v>MRC</v>
          </cell>
        </row>
        <row r="408">
          <cell r="E408" t="str">
            <v>CPM</v>
          </cell>
        </row>
        <row r="409">
          <cell r="E409" t="str">
            <v>MEG</v>
          </cell>
        </row>
        <row r="410">
          <cell r="E410" t="str">
            <v>FNI</v>
          </cell>
        </row>
        <row r="411">
          <cell r="E411" t="str">
            <v>MWIDE</v>
          </cell>
        </row>
        <row r="412">
          <cell r="E412" t="str">
            <v>MWIDE</v>
          </cell>
        </row>
        <row r="413">
          <cell r="E413" t="str">
            <v>ATN</v>
          </cell>
        </row>
        <row r="414">
          <cell r="E414" t="str">
            <v>SCC</v>
          </cell>
        </row>
        <row r="415">
          <cell r="E415" t="str">
            <v>SMC</v>
          </cell>
        </row>
        <row r="416">
          <cell r="E416" t="str">
            <v>ICT</v>
          </cell>
        </row>
        <row r="417">
          <cell r="E417" t="str">
            <v>GTCAP</v>
          </cell>
        </row>
        <row r="418">
          <cell r="E418" t="str">
            <v>ATN</v>
          </cell>
        </row>
        <row r="419">
          <cell r="E419" t="str">
            <v>GTCAP</v>
          </cell>
        </row>
        <row r="420">
          <cell r="E420" t="str">
            <v>BLOOM</v>
          </cell>
        </row>
        <row r="421">
          <cell r="E421" t="str">
            <v>PCOR</v>
          </cell>
        </row>
        <row r="422">
          <cell r="E422" t="str">
            <v>PIZZA</v>
          </cell>
        </row>
        <row r="423">
          <cell r="E423" t="str">
            <v>SMC</v>
          </cell>
        </row>
        <row r="424">
          <cell r="E424" t="str">
            <v>LR</v>
          </cell>
        </row>
        <row r="425">
          <cell r="E425" t="str">
            <v>ATN</v>
          </cell>
        </row>
        <row r="426">
          <cell r="E426" t="str">
            <v>JGS</v>
          </cell>
        </row>
        <row r="427">
          <cell r="E427" t="str">
            <v>ATN</v>
          </cell>
        </row>
        <row r="428">
          <cell r="E428" t="str">
            <v>EW</v>
          </cell>
        </row>
        <row r="429">
          <cell r="E429" t="str">
            <v>AP</v>
          </cell>
        </row>
        <row r="430">
          <cell r="E430" t="str">
            <v>MWIDE</v>
          </cell>
        </row>
        <row r="431">
          <cell r="E431" t="str">
            <v>RWM</v>
          </cell>
        </row>
        <row r="432">
          <cell r="E432" t="str">
            <v>MEG</v>
          </cell>
        </row>
        <row r="433">
          <cell r="E433" t="str">
            <v>AC</v>
          </cell>
        </row>
        <row r="434">
          <cell r="E434" t="str">
            <v>DMC</v>
          </cell>
        </row>
        <row r="435">
          <cell r="E435" t="str">
            <v>JFC</v>
          </cell>
        </row>
        <row r="436">
          <cell r="E436" t="str">
            <v>SMPH</v>
          </cell>
        </row>
        <row r="437">
          <cell r="E437" t="str">
            <v>JFC</v>
          </cell>
        </row>
        <row r="438">
          <cell r="E438" t="str">
            <v>TUGS</v>
          </cell>
        </row>
        <row r="439">
          <cell r="E439" t="str">
            <v>MAC</v>
          </cell>
        </row>
        <row r="440">
          <cell r="E440" t="str">
            <v>AGI</v>
          </cell>
        </row>
        <row r="441">
          <cell r="E441" t="str">
            <v>SCC</v>
          </cell>
        </row>
        <row r="442">
          <cell r="E442" t="str">
            <v>AC</v>
          </cell>
        </row>
        <row r="443">
          <cell r="E443" t="str">
            <v>AEV</v>
          </cell>
        </row>
        <row r="444">
          <cell r="E444" t="str">
            <v>GTCAP</v>
          </cell>
        </row>
        <row r="445">
          <cell r="E445" t="str">
            <v>AEV</v>
          </cell>
        </row>
        <row r="446">
          <cell r="E446" t="str">
            <v>PCOR</v>
          </cell>
        </row>
        <row r="447">
          <cell r="E447" t="str">
            <v>ICT</v>
          </cell>
        </row>
        <row r="448">
          <cell r="E448" t="str">
            <v>MRC</v>
          </cell>
        </row>
        <row r="449">
          <cell r="E449" t="str">
            <v>ANI</v>
          </cell>
        </row>
        <row r="450">
          <cell r="E450" t="str">
            <v>CPM</v>
          </cell>
        </row>
        <row r="451">
          <cell r="E451" t="str">
            <v>GTCAP</v>
          </cell>
        </row>
        <row r="452">
          <cell r="E452" t="str">
            <v>JFC</v>
          </cell>
        </row>
        <row r="453">
          <cell r="E453" t="str">
            <v>EW</v>
          </cell>
        </row>
        <row r="454">
          <cell r="E454" t="str">
            <v>JGS</v>
          </cell>
        </row>
        <row r="455">
          <cell r="E455" t="str">
            <v>CPM</v>
          </cell>
        </row>
        <row r="456">
          <cell r="E456" t="str">
            <v>BPI</v>
          </cell>
        </row>
        <row r="457">
          <cell r="E457" t="str">
            <v>PXP</v>
          </cell>
        </row>
        <row r="458">
          <cell r="E458" t="str">
            <v>BRN</v>
          </cell>
        </row>
        <row r="459">
          <cell r="E459" t="str">
            <v>RWM</v>
          </cell>
        </row>
        <row r="460">
          <cell r="E460" t="str">
            <v>POPI</v>
          </cell>
        </row>
        <row r="461">
          <cell r="E461" t="str">
            <v>BRN</v>
          </cell>
        </row>
        <row r="462">
          <cell r="E462" t="str">
            <v>VUL</v>
          </cell>
        </row>
        <row r="463">
          <cell r="E463" t="str">
            <v>ANI</v>
          </cell>
        </row>
        <row r="464">
          <cell r="E464" t="str">
            <v>MEG</v>
          </cell>
        </row>
        <row r="465">
          <cell r="E465" t="str">
            <v>VITA</v>
          </cell>
        </row>
        <row r="466">
          <cell r="E466" t="str">
            <v>PXP</v>
          </cell>
        </row>
        <row r="467">
          <cell r="E467" t="str">
            <v>VLL</v>
          </cell>
        </row>
        <row r="468">
          <cell r="E468" t="str">
            <v>MBT</v>
          </cell>
        </row>
        <row r="469">
          <cell r="E469" t="str">
            <v>ION</v>
          </cell>
        </row>
        <row r="470">
          <cell r="E470" t="str">
            <v>IMI</v>
          </cell>
        </row>
        <row r="471">
          <cell r="E471" t="str">
            <v>VUL</v>
          </cell>
        </row>
        <row r="472">
          <cell r="E472" t="str">
            <v>ICT</v>
          </cell>
        </row>
        <row r="473">
          <cell r="E473" t="str">
            <v>ALI</v>
          </cell>
        </row>
        <row r="474">
          <cell r="E474" t="str">
            <v>VUL</v>
          </cell>
        </row>
        <row r="475">
          <cell r="E475" t="str">
            <v>DMC</v>
          </cell>
        </row>
        <row r="476">
          <cell r="E476" t="str">
            <v>ION</v>
          </cell>
        </row>
        <row r="477">
          <cell r="E477" t="str">
            <v>MEG</v>
          </cell>
        </row>
        <row r="478">
          <cell r="E478" t="str">
            <v>PCOR</v>
          </cell>
        </row>
        <row r="479">
          <cell r="E479" t="str">
            <v>LR</v>
          </cell>
        </row>
        <row r="480">
          <cell r="E480" t="str">
            <v>MWIDE</v>
          </cell>
        </row>
        <row r="481">
          <cell r="E481" t="str">
            <v>MRC</v>
          </cell>
        </row>
        <row r="482">
          <cell r="E482" t="str">
            <v>VITA</v>
          </cell>
        </row>
        <row r="483">
          <cell r="E483" t="str">
            <v>AC</v>
          </cell>
        </row>
        <row r="484">
          <cell r="E484" t="str">
            <v>CPM</v>
          </cell>
        </row>
        <row r="485">
          <cell r="E485" t="str">
            <v>ALI</v>
          </cell>
        </row>
        <row r="486">
          <cell r="E486" t="str">
            <v>SMPH</v>
          </cell>
        </row>
        <row r="487">
          <cell r="E487" t="str">
            <v>MRC</v>
          </cell>
        </row>
        <row r="488">
          <cell r="E488" t="str">
            <v>VITA</v>
          </cell>
        </row>
        <row r="489">
          <cell r="E489" t="str">
            <v>PRMX</v>
          </cell>
        </row>
        <row r="490">
          <cell r="E490" t="str">
            <v>ION</v>
          </cell>
        </row>
        <row r="491">
          <cell r="E491" t="str">
            <v>CPG</v>
          </cell>
        </row>
        <row r="492">
          <cell r="E492" t="str">
            <v>ION</v>
          </cell>
        </row>
        <row r="493">
          <cell r="E493" t="str">
            <v>RWM</v>
          </cell>
        </row>
        <row r="494">
          <cell r="E494" t="str">
            <v>VITA</v>
          </cell>
        </row>
        <row r="495">
          <cell r="E495" t="str">
            <v>CPG</v>
          </cell>
        </row>
        <row r="496">
          <cell r="E496" t="str">
            <v>CPM</v>
          </cell>
        </row>
        <row r="497">
          <cell r="E497" t="str">
            <v>VLL</v>
          </cell>
        </row>
        <row r="498">
          <cell r="E498" t="str">
            <v>POPI</v>
          </cell>
        </row>
        <row r="499">
          <cell r="E499" t="str">
            <v>HOUSE</v>
          </cell>
        </row>
        <row r="500">
          <cell r="E500" t="str">
            <v>SM</v>
          </cell>
        </row>
        <row r="501">
          <cell r="E501" t="str">
            <v>VLL</v>
          </cell>
        </row>
        <row r="502">
          <cell r="E502" t="str">
            <v>EW</v>
          </cell>
        </row>
        <row r="503">
          <cell r="E503" t="str">
            <v>ANI</v>
          </cell>
        </row>
        <row r="504">
          <cell r="E504" t="str">
            <v>MEG</v>
          </cell>
        </row>
        <row r="505">
          <cell r="E505" t="str">
            <v>ANI</v>
          </cell>
        </row>
        <row r="506">
          <cell r="E506" t="str">
            <v>EW</v>
          </cell>
        </row>
        <row r="507">
          <cell r="E507" t="str">
            <v>JGS</v>
          </cell>
        </row>
        <row r="508">
          <cell r="E508" t="str">
            <v>PIZZA</v>
          </cell>
        </row>
        <row r="509">
          <cell r="E509" t="str">
            <v>MEG</v>
          </cell>
        </row>
        <row r="510">
          <cell r="E510" t="str">
            <v>CHP</v>
          </cell>
        </row>
        <row r="511">
          <cell r="E511" t="str">
            <v>CPM</v>
          </cell>
        </row>
        <row r="512">
          <cell r="E512" t="str">
            <v>MBT</v>
          </cell>
        </row>
        <row r="513">
          <cell r="E513" t="str">
            <v>MRC</v>
          </cell>
        </row>
        <row r="514">
          <cell r="E514" t="str">
            <v>TUGS</v>
          </cell>
        </row>
        <row r="515">
          <cell r="E515" t="str">
            <v>LR</v>
          </cell>
        </row>
        <row r="516">
          <cell r="E516" t="str">
            <v>FLI</v>
          </cell>
        </row>
        <row r="517">
          <cell r="E517" t="str">
            <v>PRMX</v>
          </cell>
        </row>
        <row r="518">
          <cell r="E518" t="str">
            <v>MEG</v>
          </cell>
        </row>
        <row r="519">
          <cell r="E519" t="str">
            <v>PXP</v>
          </cell>
        </row>
        <row r="520">
          <cell r="E520" t="str">
            <v>CPM</v>
          </cell>
        </row>
        <row r="521">
          <cell r="E521" t="str">
            <v>MEG</v>
          </cell>
        </row>
        <row r="522">
          <cell r="E522" t="str">
            <v>PXP</v>
          </cell>
        </row>
        <row r="523">
          <cell r="E523" t="str">
            <v>SCC</v>
          </cell>
        </row>
        <row r="524">
          <cell r="E524" t="str">
            <v>MER</v>
          </cell>
        </row>
        <row r="525">
          <cell r="E525" t="str">
            <v>PXP</v>
          </cell>
        </row>
        <row r="526">
          <cell r="E526" t="str">
            <v>EW</v>
          </cell>
        </row>
        <row r="527">
          <cell r="E527" t="str">
            <v>VUL</v>
          </cell>
        </row>
        <row r="528">
          <cell r="E528" t="str">
            <v>VITA</v>
          </cell>
        </row>
        <row r="529">
          <cell r="E529" t="str">
            <v>ANI</v>
          </cell>
        </row>
        <row r="530">
          <cell r="E530" t="str">
            <v>SM</v>
          </cell>
        </row>
        <row r="531">
          <cell r="E531" t="str">
            <v>DMC</v>
          </cell>
        </row>
        <row r="532">
          <cell r="E532" t="str">
            <v>DD</v>
          </cell>
        </row>
        <row r="533">
          <cell r="E533" t="str">
            <v>ANI</v>
          </cell>
        </row>
        <row r="534">
          <cell r="E534" t="str">
            <v>BRN</v>
          </cell>
        </row>
        <row r="535">
          <cell r="E535" t="str">
            <v>CPM</v>
          </cell>
        </row>
        <row r="536">
          <cell r="E536" t="str">
            <v>ALI</v>
          </cell>
        </row>
        <row r="537">
          <cell r="E537" t="str">
            <v>PCOR</v>
          </cell>
        </row>
        <row r="538">
          <cell r="E538" t="str">
            <v>CPM</v>
          </cell>
        </row>
        <row r="539">
          <cell r="E539" t="str">
            <v>VITA</v>
          </cell>
        </row>
        <row r="540">
          <cell r="E540" t="str">
            <v>PXP</v>
          </cell>
        </row>
        <row r="541">
          <cell r="E541" t="str">
            <v>PCOR</v>
          </cell>
        </row>
        <row r="542">
          <cell r="E542" t="str">
            <v>BLOOM</v>
          </cell>
        </row>
        <row r="543">
          <cell r="E543" t="str">
            <v>JFC</v>
          </cell>
        </row>
        <row r="544">
          <cell r="E544" t="str">
            <v>AC</v>
          </cell>
        </row>
        <row r="545">
          <cell r="E545" t="str">
            <v>BLOOM</v>
          </cell>
        </row>
        <row r="546">
          <cell r="E546" t="str">
            <v>NIKL</v>
          </cell>
        </row>
        <row r="547">
          <cell r="E547" t="str">
            <v>ATN</v>
          </cell>
        </row>
        <row r="548">
          <cell r="E548" t="str">
            <v>NIKL</v>
          </cell>
        </row>
        <row r="549">
          <cell r="E549" t="str">
            <v>SMPH</v>
          </cell>
        </row>
        <row r="550">
          <cell r="E550" t="str">
            <v>AP</v>
          </cell>
        </row>
        <row r="551">
          <cell r="E551" t="str">
            <v>SMPH</v>
          </cell>
        </row>
        <row r="552">
          <cell r="E552" t="str">
            <v>GLO</v>
          </cell>
        </row>
        <row r="553">
          <cell r="E553" t="str">
            <v>LR</v>
          </cell>
        </row>
        <row r="554">
          <cell r="E554" t="str">
            <v>MRC</v>
          </cell>
        </row>
        <row r="555">
          <cell r="E555" t="str">
            <v>CPM</v>
          </cell>
        </row>
        <row r="556">
          <cell r="E556" t="str">
            <v>ANI</v>
          </cell>
        </row>
        <row r="557">
          <cell r="E557" t="str">
            <v>APX</v>
          </cell>
        </row>
        <row r="558">
          <cell r="E558" t="str">
            <v>ALI</v>
          </cell>
        </row>
        <row r="559">
          <cell r="E559" t="str">
            <v>VLL</v>
          </cell>
        </row>
        <row r="560">
          <cell r="E560" t="str">
            <v>CPM</v>
          </cell>
        </row>
        <row r="561">
          <cell r="E561" t="str">
            <v>CPM</v>
          </cell>
        </row>
        <row r="562">
          <cell r="E562" t="str">
            <v>APX</v>
          </cell>
        </row>
        <row r="563">
          <cell r="E563" t="str">
            <v>JGS</v>
          </cell>
        </row>
        <row r="564">
          <cell r="E564" t="str">
            <v>FNI</v>
          </cell>
        </row>
        <row r="565">
          <cell r="E565" t="str">
            <v>GTCAP</v>
          </cell>
        </row>
        <row r="566">
          <cell r="E566" t="str">
            <v>AGI</v>
          </cell>
        </row>
        <row r="567">
          <cell r="E567" t="str">
            <v>PXP</v>
          </cell>
        </row>
        <row r="568">
          <cell r="E568" t="str">
            <v>ATN</v>
          </cell>
        </row>
        <row r="569">
          <cell r="E569" t="str">
            <v>EW</v>
          </cell>
        </row>
        <row r="570">
          <cell r="E570" t="str">
            <v>CPM</v>
          </cell>
        </row>
        <row r="571">
          <cell r="E571" t="str">
            <v>PXP</v>
          </cell>
        </row>
        <row r="572">
          <cell r="E572" t="str">
            <v>SMC</v>
          </cell>
        </row>
        <row r="573">
          <cell r="E573" t="str">
            <v>GTCAP</v>
          </cell>
        </row>
        <row r="574">
          <cell r="E574" t="str">
            <v>FNI</v>
          </cell>
        </row>
        <row r="575">
          <cell r="E575" t="str">
            <v>MAC</v>
          </cell>
        </row>
        <row r="576">
          <cell r="E576" t="str">
            <v>PRMX</v>
          </cell>
        </row>
        <row r="577">
          <cell r="E577" t="str">
            <v>DMC</v>
          </cell>
        </row>
        <row r="578">
          <cell r="E578" t="str">
            <v>SMPH</v>
          </cell>
        </row>
        <row r="579">
          <cell r="E579" t="str">
            <v>PRMX</v>
          </cell>
        </row>
        <row r="580">
          <cell r="E580" t="str">
            <v>GLO</v>
          </cell>
        </row>
        <row r="581">
          <cell r="E581" t="str">
            <v>RWM</v>
          </cell>
        </row>
        <row r="582">
          <cell r="E582" t="str">
            <v>MBT</v>
          </cell>
        </row>
        <row r="583">
          <cell r="E583" t="str">
            <v>DMC</v>
          </cell>
        </row>
        <row r="584">
          <cell r="E584" t="str">
            <v>MBT</v>
          </cell>
        </row>
        <row r="585">
          <cell r="E585" t="str">
            <v>MBT</v>
          </cell>
        </row>
        <row r="586">
          <cell r="E586" t="str">
            <v>MBT</v>
          </cell>
        </row>
        <row r="587">
          <cell r="E587" t="str">
            <v>AC</v>
          </cell>
        </row>
        <row r="588">
          <cell r="E588" t="str">
            <v>TEL</v>
          </cell>
        </row>
        <row r="589">
          <cell r="E589" t="str">
            <v>CPM</v>
          </cell>
        </row>
        <row r="590">
          <cell r="E590" t="str">
            <v>FNI</v>
          </cell>
        </row>
        <row r="591">
          <cell r="E591" t="str">
            <v>CPM</v>
          </cell>
        </row>
        <row r="592">
          <cell r="E592" t="str">
            <v>FNI</v>
          </cell>
        </row>
        <row r="593">
          <cell r="E593" t="str">
            <v>FNI</v>
          </cell>
        </row>
        <row r="594">
          <cell r="E594" t="str">
            <v>MEG</v>
          </cell>
        </row>
        <row r="595">
          <cell r="E595" t="str">
            <v>TUGS</v>
          </cell>
        </row>
        <row r="596">
          <cell r="E596" t="str">
            <v>SMC</v>
          </cell>
        </row>
        <row r="597">
          <cell r="E597" t="str">
            <v>JFC</v>
          </cell>
        </row>
        <row r="598">
          <cell r="E598" t="str">
            <v>ANI</v>
          </cell>
        </row>
        <row r="599">
          <cell r="E599" t="str">
            <v>MRC</v>
          </cell>
        </row>
        <row r="600">
          <cell r="E600" t="str">
            <v>SM</v>
          </cell>
        </row>
        <row r="601">
          <cell r="E601" t="str">
            <v>SM</v>
          </cell>
        </row>
        <row r="602">
          <cell r="E602" t="str">
            <v>IMI</v>
          </cell>
        </row>
        <row r="603">
          <cell r="E603" t="str">
            <v>EW</v>
          </cell>
        </row>
        <row r="604">
          <cell r="E604" t="str">
            <v>FNI</v>
          </cell>
        </row>
        <row r="605">
          <cell r="E605" t="str">
            <v>MEG</v>
          </cell>
        </row>
        <row r="606">
          <cell r="E606" t="str">
            <v>SMPH</v>
          </cell>
        </row>
        <row r="607">
          <cell r="E607" t="str">
            <v>JFC</v>
          </cell>
        </row>
        <row r="608">
          <cell r="E608" t="str">
            <v>DNL</v>
          </cell>
        </row>
        <row r="609">
          <cell r="E609" t="str">
            <v>IMI</v>
          </cell>
        </row>
        <row r="610">
          <cell r="E610" t="str">
            <v>TUGS</v>
          </cell>
        </row>
        <row r="611">
          <cell r="E611" t="str">
            <v>MWIDE</v>
          </cell>
        </row>
        <row r="612">
          <cell r="E612" t="str">
            <v>PXP</v>
          </cell>
        </row>
        <row r="613">
          <cell r="E613" t="str">
            <v>DNL</v>
          </cell>
        </row>
        <row r="614">
          <cell r="E614" t="str">
            <v>APX</v>
          </cell>
        </row>
        <row r="615">
          <cell r="E615" t="str">
            <v>NOW</v>
          </cell>
        </row>
        <row r="616">
          <cell r="E616" t="str">
            <v>ALI</v>
          </cell>
        </row>
        <row r="617">
          <cell r="E617" t="str">
            <v>TUGS</v>
          </cell>
        </row>
        <row r="618">
          <cell r="E618" t="str">
            <v>HOUSE</v>
          </cell>
        </row>
        <row r="619">
          <cell r="E619" t="str">
            <v>MRP</v>
          </cell>
        </row>
        <row r="620">
          <cell r="E620" t="str">
            <v>JFC</v>
          </cell>
        </row>
        <row r="621">
          <cell r="E621" t="str">
            <v>MBT</v>
          </cell>
        </row>
        <row r="622">
          <cell r="E622" t="str">
            <v>EW</v>
          </cell>
        </row>
        <row r="623">
          <cell r="E623" t="str">
            <v>NOW</v>
          </cell>
        </row>
        <row r="624">
          <cell r="E624" t="str">
            <v>PXP</v>
          </cell>
        </row>
        <row r="625">
          <cell r="E625" t="str">
            <v>MRC</v>
          </cell>
        </row>
        <row r="626">
          <cell r="E626" t="str">
            <v>BPI</v>
          </cell>
        </row>
        <row r="627">
          <cell r="E627" t="str">
            <v>CPM</v>
          </cell>
        </row>
        <row r="628">
          <cell r="E628" t="str">
            <v>BPI</v>
          </cell>
        </row>
        <row r="629">
          <cell r="E629" t="str">
            <v>CPM</v>
          </cell>
        </row>
        <row r="630">
          <cell r="E630" t="str">
            <v>SMPH</v>
          </cell>
        </row>
        <row r="631">
          <cell r="E631" t="str">
            <v>AC</v>
          </cell>
        </row>
        <row r="632">
          <cell r="E632" t="str">
            <v>HOUSE</v>
          </cell>
        </row>
        <row r="633">
          <cell r="E633" t="str">
            <v>ION</v>
          </cell>
        </row>
        <row r="634">
          <cell r="E634" t="str">
            <v>BPI</v>
          </cell>
        </row>
        <row r="635">
          <cell r="E635" t="str">
            <v>TUGS</v>
          </cell>
        </row>
        <row r="636">
          <cell r="E636" t="str">
            <v>RWM</v>
          </cell>
        </row>
        <row r="637">
          <cell r="E637" t="str">
            <v>ION</v>
          </cell>
        </row>
        <row r="638">
          <cell r="E638" t="str">
            <v>LR</v>
          </cell>
        </row>
        <row r="639">
          <cell r="E639" t="str">
            <v>RWM</v>
          </cell>
        </row>
        <row r="640">
          <cell r="E640" t="str">
            <v>CHP</v>
          </cell>
        </row>
        <row r="641">
          <cell r="E641" t="str">
            <v>MBT</v>
          </cell>
        </row>
        <row r="642">
          <cell r="E642" t="str">
            <v>CPG</v>
          </cell>
        </row>
        <row r="643">
          <cell r="E643" t="str">
            <v>ICT</v>
          </cell>
        </row>
        <row r="644">
          <cell r="E644" t="str">
            <v>BLOOM</v>
          </cell>
        </row>
        <row r="645">
          <cell r="E645" t="str">
            <v>NOW</v>
          </cell>
        </row>
        <row r="646">
          <cell r="E646" t="str">
            <v>ALI</v>
          </cell>
        </row>
        <row r="647">
          <cell r="E647" t="str">
            <v>ALI</v>
          </cell>
        </row>
        <row r="648">
          <cell r="E648" t="str">
            <v>MRC</v>
          </cell>
        </row>
        <row r="649">
          <cell r="E649" t="str">
            <v>DMC</v>
          </cell>
        </row>
        <row r="650">
          <cell r="E650" t="str">
            <v>NOW</v>
          </cell>
        </row>
        <row r="651">
          <cell r="E651" t="str">
            <v>HOUSE</v>
          </cell>
        </row>
        <row r="652">
          <cell r="E652" t="str">
            <v>PGOLD</v>
          </cell>
        </row>
        <row r="653">
          <cell r="E653" t="str">
            <v>PIZZA</v>
          </cell>
        </row>
        <row r="654">
          <cell r="E654" t="str">
            <v>BLOOM</v>
          </cell>
        </row>
        <row r="655">
          <cell r="E655" t="str">
            <v>NOW</v>
          </cell>
        </row>
        <row r="656">
          <cell r="E656" t="str">
            <v>ALI</v>
          </cell>
        </row>
        <row r="657">
          <cell r="E657" t="str">
            <v>SMPH</v>
          </cell>
        </row>
        <row r="658">
          <cell r="E658" t="str">
            <v>ICT</v>
          </cell>
        </row>
        <row r="659">
          <cell r="E659" t="str">
            <v>AEV</v>
          </cell>
        </row>
        <row r="660">
          <cell r="E660" t="str">
            <v>MWIDE</v>
          </cell>
        </row>
        <row r="661">
          <cell r="E661" t="str">
            <v>BRN</v>
          </cell>
        </row>
        <row r="662">
          <cell r="E662" t="str">
            <v>PXP</v>
          </cell>
        </row>
        <row r="663">
          <cell r="E663" t="str">
            <v>AC</v>
          </cell>
        </row>
        <row r="664">
          <cell r="E664" t="str">
            <v>AEV</v>
          </cell>
        </row>
        <row r="665">
          <cell r="E665" t="str">
            <v>MRP</v>
          </cell>
        </row>
        <row r="666">
          <cell r="E666" t="str">
            <v>RWM</v>
          </cell>
        </row>
        <row r="667">
          <cell r="E667" t="str">
            <v>WLCON</v>
          </cell>
        </row>
        <row r="668">
          <cell r="E668" t="str">
            <v>BPI</v>
          </cell>
        </row>
        <row r="669">
          <cell r="E669" t="str">
            <v>RWM</v>
          </cell>
        </row>
        <row r="670">
          <cell r="E670" t="str">
            <v>PGOLD</v>
          </cell>
        </row>
        <row r="671">
          <cell r="E671" t="str">
            <v>AEV</v>
          </cell>
        </row>
        <row r="672">
          <cell r="E672" t="str">
            <v>BLOOM</v>
          </cell>
        </row>
        <row r="673">
          <cell r="E673" t="str">
            <v>MRP</v>
          </cell>
        </row>
        <row r="674">
          <cell r="E674" t="str">
            <v>BPI</v>
          </cell>
        </row>
        <row r="675">
          <cell r="E675" t="str">
            <v>CLC</v>
          </cell>
        </row>
        <row r="676">
          <cell r="E676" t="str">
            <v>RLC</v>
          </cell>
        </row>
        <row r="677">
          <cell r="E677" t="str">
            <v>PIZZA</v>
          </cell>
        </row>
        <row r="678">
          <cell r="E678" t="str">
            <v>MAC</v>
          </cell>
        </row>
        <row r="679">
          <cell r="E679" t="str">
            <v>IMI</v>
          </cell>
        </row>
        <row r="680">
          <cell r="E680" t="str">
            <v>LR</v>
          </cell>
        </row>
        <row r="681">
          <cell r="E681" t="str">
            <v>MRP</v>
          </cell>
        </row>
        <row r="682">
          <cell r="E682" t="str">
            <v>WLCON</v>
          </cell>
        </row>
        <row r="683">
          <cell r="E683" t="str">
            <v>ATN</v>
          </cell>
        </row>
        <row r="684">
          <cell r="E684" t="str">
            <v>ICT</v>
          </cell>
        </row>
        <row r="685">
          <cell r="E685" t="str">
            <v>TUGS</v>
          </cell>
        </row>
        <row r="686">
          <cell r="E686" t="str">
            <v>MAC</v>
          </cell>
        </row>
        <row r="687">
          <cell r="E687" t="str">
            <v>ICT</v>
          </cell>
        </row>
        <row r="688">
          <cell r="E688" t="str">
            <v>CLC</v>
          </cell>
        </row>
        <row r="689">
          <cell r="E689" t="str">
            <v>BLOOM</v>
          </cell>
        </row>
        <row r="690">
          <cell r="E690" t="str">
            <v>NOW</v>
          </cell>
        </row>
        <row r="691">
          <cell r="E691" t="str">
            <v>HOUSE</v>
          </cell>
        </row>
        <row r="692">
          <cell r="E692" t="str">
            <v>BLOOM</v>
          </cell>
        </row>
        <row r="693">
          <cell r="E693" t="str">
            <v>PIZZA</v>
          </cell>
        </row>
        <row r="694">
          <cell r="E694" t="str">
            <v>MWIDE</v>
          </cell>
        </row>
        <row r="695">
          <cell r="E695" t="str">
            <v>IMI</v>
          </cell>
        </row>
        <row r="696">
          <cell r="E696" t="str">
            <v>CPM</v>
          </cell>
        </row>
        <row r="697">
          <cell r="E697" t="str">
            <v>HOUSE</v>
          </cell>
        </row>
        <row r="698">
          <cell r="E698" t="str">
            <v>ION</v>
          </cell>
        </row>
        <row r="699">
          <cell r="E699" t="str">
            <v>BRN</v>
          </cell>
        </row>
        <row r="700">
          <cell r="E700" t="str">
            <v>ATN</v>
          </cell>
        </row>
        <row r="701">
          <cell r="E701" t="str">
            <v>POPI</v>
          </cell>
        </row>
        <row r="702">
          <cell r="E702" t="str">
            <v>TUGS</v>
          </cell>
        </row>
        <row r="703">
          <cell r="E703" t="str">
            <v>PIZZA</v>
          </cell>
        </row>
        <row r="704">
          <cell r="E704" t="str">
            <v>TEL</v>
          </cell>
        </row>
        <row r="705">
          <cell r="E705" t="str">
            <v>PIZZA</v>
          </cell>
        </row>
        <row r="706">
          <cell r="E706" t="str">
            <v>POPI</v>
          </cell>
        </row>
        <row r="707">
          <cell r="E707" t="str">
            <v>CPM</v>
          </cell>
        </row>
        <row r="708">
          <cell r="E708" t="str">
            <v>SCC</v>
          </cell>
        </row>
        <row r="709">
          <cell r="E709" t="str">
            <v>JFC</v>
          </cell>
        </row>
        <row r="710">
          <cell r="E710" t="str">
            <v>APX</v>
          </cell>
        </row>
        <row r="711">
          <cell r="E711" t="str">
            <v>GTCAP</v>
          </cell>
        </row>
        <row r="712">
          <cell r="E712" t="str">
            <v>MER</v>
          </cell>
        </row>
        <row r="713">
          <cell r="E713" t="str">
            <v>PGOLD</v>
          </cell>
        </row>
        <row r="714">
          <cell r="E714" t="str">
            <v>BRN</v>
          </cell>
        </row>
        <row r="715">
          <cell r="E715" t="str">
            <v>PXP</v>
          </cell>
        </row>
        <row r="716">
          <cell r="E716" t="str">
            <v>ATN</v>
          </cell>
        </row>
        <row r="717">
          <cell r="E717" t="str">
            <v>ION</v>
          </cell>
        </row>
        <row r="718">
          <cell r="E718" t="str">
            <v>MAC</v>
          </cell>
        </row>
        <row r="719">
          <cell r="E719" t="str">
            <v>VUL</v>
          </cell>
        </row>
        <row r="720">
          <cell r="E720" t="str">
            <v>ATN</v>
          </cell>
        </row>
        <row r="721">
          <cell r="E721" t="str">
            <v>BRN</v>
          </cell>
        </row>
        <row r="722">
          <cell r="E722" t="str">
            <v>JFC</v>
          </cell>
        </row>
        <row r="723">
          <cell r="E723" t="str">
            <v>FNI</v>
          </cell>
        </row>
        <row r="724">
          <cell r="E724" t="str">
            <v>NIKL</v>
          </cell>
        </row>
        <row r="725">
          <cell r="E725" t="str">
            <v>MRC</v>
          </cell>
        </row>
        <row r="726">
          <cell r="E726" t="str">
            <v>JFC</v>
          </cell>
        </row>
        <row r="727">
          <cell r="E727" t="str">
            <v>MEG</v>
          </cell>
        </row>
        <row r="728">
          <cell r="E728" t="str">
            <v>SECB</v>
          </cell>
        </row>
        <row r="729">
          <cell r="E729" t="str">
            <v>LR</v>
          </cell>
        </row>
        <row r="730">
          <cell r="E730" t="str">
            <v>MWIDE</v>
          </cell>
        </row>
        <row r="731">
          <cell r="E731" t="str">
            <v>FNI</v>
          </cell>
        </row>
        <row r="732">
          <cell r="E732" t="str">
            <v>MWIDE</v>
          </cell>
        </row>
        <row r="733">
          <cell r="E733" t="str">
            <v>POPI</v>
          </cell>
        </row>
        <row r="734">
          <cell r="E734" t="str">
            <v>MWIDE</v>
          </cell>
        </row>
        <row r="735">
          <cell r="E735" t="str">
            <v>CPG</v>
          </cell>
        </row>
        <row r="736">
          <cell r="E736" t="str">
            <v>AP</v>
          </cell>
        </row>
        <row r="737">
          <cell r="E737" t="str">
            <v>POPI</v>
          </cell>
        </row>
        <row r="738">
          <cell r="E738" t="str">
            <v>VITA</v>
          </cell>
        </row>
        <row r="739">
          <cell r="E739" t="str">
            <v>EAGLE</v>
          </cell>
        </row>
        <row r="740">
          <cell r="E740" t="str">
            <v>MWIDE</v>
          </cell>
        </row>
        <row r="741">
          <cell r="E741" t="str">
            <v>ATN</v>
          </cell>
        </row>
        <row r="742">
          <cell r="E742" t="str">
            <v>VITA</v>
          </cell>
        </row>
        <row r="743">
          <cell r="E743" t="str">
            <v>ATN</v>
          </cell>
        </row>
        <row r="744">
          <cell r="E744" t="str">
            <v>CPM</v>
          </cell>
        </row>
        <row r="745">
          <cell r="E745" t="str">
            <v>BRN</v>
          </cell>
        </row>
        <row r="746">
          <cell r="E746" t="str">
            <v>GLO</v>
          </cell>
        </row>
        <row r="747">
          <cell r="E747" t="str">
            <v>GLO</v>
          </cell>
        </row>
        <row r="748">
          <cell r="E748" t="str">
            <v>MBT</v>
          </cell>
        </row>
        <row r="749">
          <cell r="E749" t="str">
            <v>ANI</v>
          </cell>
        </row>
        <row r="750">
          <cell r="E750" t="str">
            <v>CPM</v>
          </cell>
        </row>
        <row r="751">
          <cell r="E751" t="str">
            <v>MEG</v>
          </cell>
        </row>
        <row r="752">
          <cell r="E752" t="str">
            <v>RWM</v>
          </cell>
        </row>
        <row r="753">
          <cell r="E753" t="str">
            <v>MER</v>
          </cell>
        </row>
        <row r="754">
          <cell r="E754" t="str">
            <v>MEG</v>
          </cell>
        </row>
        <row r="755">
          <cell r="E755" t="str">
            <v>VLL</v>
          </cell>
        </row>
        <row r="756">
          <cell r="E756" t="str">
            <v>MER</v>
          </cell>
        </row>
        <row r="757">
          <cell r="E757" t="str">
            <v>VUL</v>
          </cell>
        </row>
        <row r="758">
          <cell r="E758" t="str">
            <v>RLC</v>
          </cell>
        </row>
        <row r="759">
          <cell r="E759" t="str">
            <v>RWM</v>
          </cell>
        </row>
        <row r="760">
          <cell r="E760" t="str">
            <v>GLO</v>
          </cell>
        </row>
        <row r="761">
          <cell r="E761" t="str">
            <v>VUL</v>
          </cell>
        </row>
        <row r="762">
          <cell r="E762" t="str">
            <v>ATN</v>
          </cell>
        </row>
        <row r="763">
          <cell r="E763" t="str">
            <v>MER</v>
          </cell>
        </row>
        <row r="764">
          <cell r="E764" t="str">
            <v>ATN</v>
          </cell>
        </row>
        <row r="765">
          <cell r="E765" t="str">
            <v>ATN</v>
          </cell>
        </row>
        <row r="766">
          <cell r="E766" t="str">
            <v>RWM</v>
          </cell>
        </row>
        <row r="767">
          <cell r="E767" t="str">
            <v>CPM</v>
          </cell>
        </row>
        <row r="768">
          <cell r="E768" t="str">
            <v>RWM</v>
          </cell>
        </row>
        <row r="769">
          <cell r="E769" t="str">
            <v>SECB</v>
          </cell>
        </row>
        <row r="770">
          <cell r="E770" t="str">
            <v>CHP</v>
          </cell>
        </row>
        <row r="771">
          <cell r="E771" t="str">
            <v>SMPH</v>
          </cell>
        </row>
        <row r="772">
          <cell r="E772" t="str">
            <v>SCC</v>
          </cell>
        </row>
        <row r="773">
          <cell r="E773" t="str">
            <v>CHP</v>
          </cell>
        </row>
        <row r="774">
          <cell r="E774" t="str">
            <v>RLC</v>
          </cell>
        </row>
        <row r="775">
          <cell r="E775" t="str">
            <v>SMC</v>
          </cell>
        </row>
        <row r="776">
          <cell r="E776" t="str">
            <v>PIZZA</v>
          </cell>
        </row>
        <row r="777">
          <cell r="E777" t="str">
            <v>DD</v>
          </cell>
        </row>
        <row r="778">
          <cell r="E778" t="str">
            <v>HOUSE</v>
          </cell>
        </row>
        <row r="779">
          <cell r="E779" t="str">
            <v>GLO</v>
          </cell>
        </row>
        <row r="780">
          <cell r="E780" t="str">
            <v>BRN</v>
          </cell>
        </row>
        <row r="781">
          <cell r="E781" t="str">
            <v>RWM</v>
          </cell>
        </row>
        <row r="782">
          <cell r="E782" t="str">
            <v>DMC</v>
          </cell>
        </row>
        <row r="783">
          <cell r="E783" t="str">
            <v>CHP</v>
          </cell>
        </row>
        <row r="784">
          <cell r="E784" t="str">
            <v>RWM</v>
          </cell>
        </row>
        <row r="785">
          <cell r="E785" t="str">
            <v>CHP</v>
          </cell>
        </row>
        <row r="786">
          <cell r="E786" t="str">
            <v>MBT</v>
          </cell>
        </row>
        <row r="787">
          <cell r="E787" t="str">
            <v>NIKL</v>
          </cell>
        </row>
        <row r="788">
          <cell r="E788" t="str">
            <v>AGI</v>
          </cell>
        </row>
        <row r="789">
          <cell r="E789" t="str">
            <v>BRN</v>
          </cell>
        </row>
        <row r="790">
          <cell r="E790" t="str">
            <v>HOUSE</v>
          </cell>
        </row>
        <row r="791">
          <cell r="E791" t="str">
            <v>RLC</v>
          </cell>
        </row>
        <row r="792">
          <cell r="E792" t="str">
            <v>MEG</v>
          </cell>
        </row>
        <row r="793">
          <cell r="E793" t="str">
            <v>LPZ</v>
          </cell>
        </row>
        <row r="794">
          <cell r="E794" t="str">
            <v>BRN</v>
          </cell>
        </row>
        <row r="795">
          <cell r="E795" t="str">
            <v>ATN</v>
          </cell>
        </row>
        <row r="796">
          <cell r="E796" t="str">
            <v>GLO</v>
          </cell>
        </row>
        <row r="797">
          <cell r="E797" t="str">
            <v>TUGS</v>
          </cell>
        </row>
        <row r="798">
          <cell r="E798" t="str">
            <v>BRN</v>
          </cell>
        </row>
        <row r="799">
          <cell r="E799" t="str">
            <v>POPI</v>
          </cell>
        </row>
        <row r="800">
          <cell r="E800" t="str">
            <v>POPI</v>
          </cell>
        </row>
        <row r="801">
          <cell r="E801" t="str">
            <v>URC</v>
          </cell>
        </row>
        <row r="802">
          <cell r="E802" t="str">
            <v>TUGS</v>
          </cell>
        </row>
        <row r="803">
          <cell r="E803" t="str">
            <v>LPZ</v>
          </cell>
        </row>
        <row r="804">
          <cell r="E804" t="str">
            <v>GLO</v>
          </cell>
        </row>
        <row r="805">
          <cell r="E805" t="str">
            <v>RLC</v>
          </cell>
        </row>
        <row r="806">
          <cell r="E806" t="str">
            <v>MER</v>
          </cell>
        </row>
        <row r="807">
          <cell r="E807" t="str">
            <v>NIKL</v>
          </cell>
        </row>
        <row r="808">
          <cell r="E808" t="str">
            <v>JGS</v>
          </cell>
        </row>
        <row r="809">
          <cell r="E809" t="str">
            <v>RWM</v>
          </cell>
        </row>
        <row r="810">
          <cell r="E810" t="str">
            <v>PIZZA</v>
          </cell>
        </row>
        <row r="811">
          <cell r="E811" t="str">
            <v>DMC</v>
          </cell>
        </row>
        <row r="812">
          <cell r="E812" t="str">
            <v>MRC</v>
          </cell>
        </row>
        <row r="813">
          <cell r="E813" t="str">
            <v>EW</v>
          </cell>
        </row>
        <row r="814">
          <cell r="E814" t="str">
            <v>SMPH</v>
          </cell>
        </row>
        <row r="815">
          <cell r="E815" t="str">
            <v>EAGLE</v>
          </cell>
        </row>
        <row r="816">
          <cell r="E816" t="str">
            <v>EW</v>
          </cell>
        </row>
        <row r="817">
          <cell r="E817" t="str">
            <v>NIKL</v>
          </cell>
        </row>
        <row r="818">
          <cell r="E818" t="str">
            <v>JGS</v>
          </cell>
        </row>
        <row r="819">
          <cell r="E819" t="str">
            <v>URC</v>
          </cell>
        </row>
        <row r="820">
          <cell r="E820" t="str">
            <v>DMC</v>
          </cell>
        </row>
        <row r="821">
          <cell r="E821" t="str">
            <v>RLC</v>
          </cell>
        </row>
        <row r="822">
          <cell r="E822" t="str">
            <v>GLO</v>
          </cell>
        </row>
        <row r="823">
          <cell r="E823" t="str">
            <v>URC</v>
          </cell>
        </row>
        <row r="824">
          <cell r="E824" t="str">
            <v>GLO</v>
          </cell>
        </row>
        <row r="825">
          <cell r="E825" t="str">
            <v>URC</v>
          </cell>
        </row>
        <row r="826">
          <cell r="E826" t="str">
            <v>MRC</v>
          </cell>
        </row>
        <row r="827">
          <cell r="E827" t="str">
            <v>RWM</v>
          </cell>
        </row>
        <row r="828">
          <cell r="E828" t="str">
            <v>PIZZA</v>
          </cell>
        </row>
        <row r="829">
          <cell r="E829" t="str">
            <v>MER</v>
          </cell>
        </row>
        <row r="830">
          <cell r="E830" t="str">
            <v>LPZ</v>
          </cell>
        </row>
        <row r="831">
          <cell r="E831" t="str">
            <v>SMC</v>
          </cell>
        </row>
        <row r="832">
          <cell r="E832" t="str">
            <v>CPM</v>
          </cell>
        </row>
        <row r="833">
          <cell r="E833" t="str">
            <v>VLL</v>
          </cell>
        </row>
        <row r="834">
          <cell r="E834" t="str">
            <v>AP</v>
          </cell>
        </row>
        <row r="835">
          <cell r="E835" t="str">
            <v>JFC</v>
          </cell>
        </row>
        <row r="836">
          <cell r="E836" t="str">
            <v>GTCAP</v>
          </cell>
        </row>
        <row r="837">
          <cell r="E837" t="str">
            <v>PGOLD</v>
          </cell>
        </row>
        <row r="838">
          <cell r="E838" t="str">
            <v>BLOOM</v>
          </cell>
        </row>
        <row r="839">
          <cell r="E839" t="str">
            <v>ABC</v>
          </cell>
        </row>
        <row r="840">
          <cell r="E840" t="str">
            <v>ABC</v>
          </cell>
        </row>
        <row r="841">
          <cell r="E841" t="str">
            <v>EFG</v>
          </cell>
        </row>
        <row r="842">
          <cell r="E842" t="str">
            <v>EFG</v>
          </cell>
        </row>
        <row r="843">
          <cell r="E843" t="str">
            <v>EFG</v>
          </cell>
        </row>
        <row r="844">
          <cell r="E844" t="str">
            <v>EFG</v>
          </cell>
        </row>
        <row r="845">
          <cell r="E845"/>
        </row>
        <row r="846">
          <cell r="E846"/>
        </row>
        <row r="847">
          <cell r="E847"/>
        </row>
        <row r="848">
          <cell r="E848"/>
        </row>
        <row r="849">
          <cell r="E849"/>
        </row>
        <row r="850">
          <cell r="E850"/>
        </row>
        <row r="851">
          <cell r="E851"/>
        </row>
        <row r="852">
          <cell r="E852"/>
        </row>
        <row r="853">
          <cell r="E853"/>
        </row>
        <row r="854">
          <cell r="E854"/>
        </row>
        <row r="855">
          <cell r="E855"/>
        </row>
        <row r="856">
          <cell r="E856"/>
        </row>
        <row r="857">
          <cell r="E857"/>
        </row>
        <row r="858">
          <cell r="E858"/>
        </row>
        <row r="859">
          <cell r="E859"/>
        </row>
        <row r="860">
          <cell r="E860"/>
        </row>
        <row r="861">
          <cell r="E861"/>
        </row>
        <row r="862">
          <cell r="E862"/>
        </row>
        <row r="863">
          <cell r="E863"/>
        </row>
        <row r="864">
          <cell r="E864"/>
        </row>
        <row r="865">
          <cell r="E865"/>
        </row>
        <row r="866">
          <cell r="E866"/>
        </row>
        <row r="867">
          <cell r="E867"/>
        </row>
        <row r="868">
          <cell r="E868"/>
        </row>
        <row r="869">
          <cell r="E869"/>
        </row>
        <row r="870">
          <cell r="E870"/>
        </row>
        <row r="871">
          <cell r="E871"/>
        </row>
        <row r="872">
          <cell r="E872"/>
        </row>
        <row r="873">
          <cell r="E873"/>
        </row>
        <row r="874">
          <cell r="E874"/>
        </row>
        <row r="875">
          <cell r="E875"/>
        </row>
        <row r="876">
          <cell r="E876"/>
        </row>
        <row r="877">
          <cell r="E877"/>
        </row>
        <row r="878">
          <cell r="E878"/>
        </row>
        <row r="879">
          <cell r="E879"/>
        </row>
        <row r="880">
          <cell r="E880"/>
        </row>
        <row r="881">
          <cell r="E881"/>
        </row>
        <row r="882">
          <cell r="E882"/>
        </row>
        <row r="883">
          <cell r="E883"/>
        </row>
        <row r="884">
          <cell r="E884"/>
        </row>
        <row r="885">
          <cell r="E885"/>
        </row>
        <row r="886">
          <cell r="E886"/>
        </row>
        <row r="887">
          <cell r="E887"/>
        </row>
        <row r="888">
          <cell r="E888"/>
        </row>
        <row r="889">
          <cell r="E889"/>
        </row>
        <row r="890">
          <cell r="E890"/>
        </row>
        <row r="891">
          <cell r="E891"/>
        </row>
        <row r="892">
          <cell r="E892"/>
        </row>
        <row r="893">
          <cell r="E893"/>
        </row>
        <row r="894">
          <cell r="E894"/>
        </row>
        <row r="895">
          <cell r="E895"/>
        </row>
        <row r="896">
          <cell r="E896"/>
        </row>
        <row r="897">
          <cell r="E897"/>
        </row>
        <row r="898">
          <cell r="E898"/>
        </row>
        <row r="899">
          <cell r="E899"/>
        </row>
        <row r="900">
          <cell r="E900"/>
        </row>
        <row r="901">
          <cell r="E901"/>
        </row>
        <row r="902">
          <cell r="E902"/>
        </row>
        <row r="903">
          <cell r="E903"/>
        </row>
        <row r="904">
          <cell r="E904"/>
        </row>
        <row r="905">
          <cell r="E905"/>
        </row>
        <row r="906">
          <cell r="E906"/>
        </row>
        <row r="907">
          <cell r="E907"/>
        </row>
        <row r="908">
          <cell r="E908"/>
        </row>
        <row r="909">
          <cell r="E909"/>
        </row>
        <row r="910">
          <cell r="E910"/>
        </row>
        <row r="911">
          <cell r="E911"/>
        </row>
        <row r="912">
          <cell r="E912"/>
        </row>
        <row r="913">
          <cell r="E913"/>
        </row>
        <row r="914">
          <cell r="E914"/>
        </row>
        <row r="915">
          <cell r="E915"/>
        </row>
        <row r="916">
          <cell r="E916"/>
        </row>
        <row r="917">
          <cell r="E917"/>
        </row>
        <row r="918">
          <cell r="E918"/>
        </row>
        <row r="919">
          <cell r="E919"/>
        </row>
        <row r="920">
          <cell r="E920"/>
        </row>
        <row r="921">
          <cell r="E921"/>
        </row>
        <row r="922">
          <cell r="E922"/>
        </row>
        <row r="923">
          <cell r="E923"/>
        </row>
        <row r="924">
          <cell r="E924"/>
        </row>
        <row r="925">
          <cell r="E925"/>
        </row>
        <row r="926">
          <cell r="E926"/>
        </row>
        <row r="927">
          <cell r="E927"/>
        </row>
        <row r="928">
          <cell r="E928"/>
        </row>
        <row r="929">
          <cell r="E929"/>
        </row>
        <row r="930">
          <cell r="E930"/>
        </row>
        <row r="931">
          <cell r="E931"/>
        </row>
        <row r="932">
          <cell r="E932"/>
        </row>
        <row r="933">
          <cell r="E933"/>
        </row>
        <row r="934">
          <cell r="E934"/>
        </row>
        <row r="935">
          <cell r="E935"/>
        </row>
        <row r="936">
          <cell r="E936"/>
        </row>
        <row r="937">
          <cell r="E937"/>
        </row>
        <row r="938">
          <cell r="E938"/>
        </row>
        <row r="939">
          <cell r="E939"/>
        </row>
        <row r="940">
          <cell r="E940"/>
        </row>
        <row r="941">
          <cell r="E941"/>
        </row>
        <row r="942">
          <cell r="E942"/>
        </row>
        <row r="943">
          <cell r="E943"/>
        </row>
        <row r="944">
          <cell r="E944"/>
        </row>
        <row r="945">
          <cell r="E945"/>
        </row>
        <row r="946">
          <cell r="E946"/>
        </row>
        <row r="947">
          <cell r="E947"/>
        </row>
        <row r="948">
          <cell r="E948"/>
        </row>
        <row r="949">
          <cell r="E949"/>
        </row>
        <row r="950">
          <cell r="E950"/>
        </row>
        <row r="951">
          <cell r="E951"/>
        </row>
        <row r="952">
          <cell r="E952"/>
        </row>
        <row r="953">
          <cell r="E953"/>
        </row>
        <row r="954">
          <cell r="E954"/>
        </row>
        <row r="955">
          <cell r="E955"/>
        </row>
        <row r="956">
          <cell r="E956"/>
        </row>
        <row r="957">
          <cell r="E957"/>
        </row>
        <row r="958">
          <cell r="E958"/>
        </row>
        <row r="959">
          <cell r="E959"/>
        </row>
        <row r="960">
          <cell r="E960"/>
        </row>
        <row r="961">
          <cell r="E961"/>
        </row>
        <row r="962">
          <cell r="E962"/>
        </row>
        <row r="963">
          <cell r="E963"/>
        </row>
        <row r="964">
          <cell r="E964"/>
        </row>
        <row r="965">
          <cell r="E965"/>
        </row>
        <row r="966">
          <cell r="E966"/>
        </row>
        <row r="967">
          <cell r="E967"/>
        </row>
        <row r="968">
          <cell r="E968"/>
        </row>
        <row r="969">
          <cell r="E969"/>
        </row>
        <row r="970">
          <cell r="E970"/>
        </row>
        <row r="971">
          <cell r="E971"/>
        </row>
        <row r="972">
          <cell r="E972"/>
        </row>
        <row r="973">
          <cell r="E973"/>
        </row>
        <row r="974">
          <cell r="E974"/>
        </row>
        <row r="975">
          <cell r="E975"/>
        </row>
        <row r="976">
          <cell r="E976"/>
        </row>
        <row r="977">
          <cell r="E977"/>
        </row>
        <row r="978">
          <cell r="E978"/>
        </row>
        <row r="979">
          <cell r="E979"/>
        </row>
        <row r="980">
          <cell r="E980"/>
        </row>
        <row r="981">
          <cell r="E981"/>
        </row>
        <row r="982">
          <cell r="E982"/>
        </row>
        <row r="983">
          <cell r="E983"/>
        </row>
        <row r="984">
          <cell r="E984"/>
        </row>
        <row r="985">
          <cell r="E985"/>
        </row>
        <row r="986">
          <cell r="E986"/>
        </row>
        <row r="987">
          <cell r="E987"/>
        </row>
        <row r="988">
          <cell r="E988"/>
        </row>
        <row r="989">
          <cell r="E989"/>
        </row>
        <row r="990">
          <cell r="E990"/>
        </row>
        <row r="991">
          <cell r="E991"/>
        </row>
        <row r="992">
          <cell r="E992"/>
        </row>
        <row r="993">
          <cell r="E993"/>
        </row>
        <row r="994">
          <cell r="E994"/>
        </row>
        <row r="995">
          <cell r="E995"/>
        </row>
        <row r="996">
          <cell r="E996"/>
        </row>
        <row r="997">
          <cell r="E997"/>
        </row>
        <row r="998">
          <cell r="E998"/>
        </row>
        <row r="999">
          <cell r="E999"/>
        </row>
        <row r="1000">
          <cell r="E1000"/>
        </row>
        <row r="1001">
          <cell r="E1001"/>
        </row>
        <row r="1002">
          <cell r="E1002"/>
        </row>
        <row r="1003">
          <cell r="E1003"/>
        </row>
        <row r="1004">
          <cell r="E1004"/>
        </row>
        <row r="1005">
          <cell r="E1005"/>
        </row>
        <row r="1006">
          <cell r="E1006"/>
        </row>
        <row r="1007">
          <cell r="E1007"/>
        </row>
        <row r="1008">
          <cell r="E1008"/>
        </row>
        <row r="1009">
          <cell r="E1009"/>
        </row>
        <row r="1010">
          <cell r="E1010"/>
        </row>
        <row r="1011">
          <cell r="E1011"/>
        </row>
        <row r="1012">
          <cell r="E1012"/>
        </row>
        <row r="1013">
          <cell r="E1013"/>
        </row>
        <row r="1014">
          <cell r="E1014"/>
        </row>
      </sheetData>
      <sheetData sheetId="3"/>
      <sheetData sheetId="4">
        <row r="6">
          <cell r="AA6">
            <v>184689.4879340615</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0</v>
          </cell>
        </row>
        <row r="57">
          <cell r="I57">
            <v>0</v>
          </cell>
        </row>
        <row r="58">
          <cell r="I58">
            <v>0</v>
          </cell>
        </row>
        <row r="59">
          <cell r="I59">
            <v>0</v>
          </cell>
        </row>
        <row r="60">
          <cell r="I60">
            <v>0</v>
          </cell>
        </row>
        <row r="61">
          <cell r="I61">
            <v>0</v>
          </cell>
        </row>
        <row r="62">
          <cell r="I62">
            <v>0</v>
          </cell>
        </row>
        <row r="63">
          <cell r="I63">
            <v>0</v>
          </cell>
        </row>
        <row r="64">
          <cell r="I64">
            <v>0</v>
          </cell>
        </row>
        <row r="65">
          <cell r="I65">
            <v>0</v>
          </cell>
        </row>
        <row r="66">
          <cell r="I66">
            <v>0</v>
          </cell>
        </row>
        <row r="67">
          <cell r="I67">
            <v>0</v>
          </cell>
        </row>
        <row r="68">
          <cell r="I68">
            <v>0</v>
          </cell>
        </row>
        <row r="69">
          <cell r="I69">
            <v>0</v>
          </cell>
        </row>
        <row r="70">
          <cell r="I70">
            <v>0</v>
          </cell>
        </row>
        <row r="71">
          <cell r="I71">
            <v>0</v>
          </cell>
        </row>
        <row r="72">
          <cell r="I72">
            <v>0</v>
          </cell>
        </row>
        <row r="73">
          <cell r="I73">
            <v>0</v>
          </cell>
        </row>
        <row r="74">
          <cell r="I74">
            <v>0</v>
          </cell>
        </row>
        <row r="75">
          <cell r="I75">
            <v>0</v>
          </cell>
        </row>
        <row r="76">
          <cell r="I76">
            <v>0</v>
          </cell>
        </row>
        <row r="77">
          <cell r="I77">
            <v>0</v>
          </cell>
        </row>
        <row r="78">
          <cell r="I78">
            <v>10029.50064</v>
          </cell>
        </row>
        <row r="79">
          <cell r="I79">
            <v>50447.500650000002</v>
          </cell>
        </row>
        <row r="80">
          <cell r="I80">
            <v>0</v>
          </cell>
        </row>
        <row r="81">
          <cell r="I81">
            <v>0</v>
          </cell>
        </row>
        <row r="82">
          <cell r="I82">
            <v>0</v>
          </cell>
        </row>
        <row r="83">
          <cell r="I83">
            <v>0</v>
          </cell>
        </row>
        <row r="84">
          <cell r="I84">
            <v>0</v>
          </cell>
        </row>
        <row r="85">
          <cell r="I85">
            <v>0</v>
          </cell>
        </row>
        <row r="86">
          <cell r="I86">
            <v>0</v>
          </cell>
        </row>
        <row r="87">
          <cell r="I87">
            <v>0</v>
          </cell>
        </row>
        <row r="88">
          <cell r="I88">
            <v>0</v>
          </cell>
        </row>
        <row r="89">
          <cell r="I89">
            <v>0</v>
          </cell>
        </row>
        <row r="90">
          <cell r="I90">
            <v>0</v>
          </cell>
        </row>
        <row r="91">
          <cell r="I91">
            <v>0</v>
          </cell>
        </row>
        <row r="92">
          <cell r="I92">
            <v>0</v>
          </cell>
        </row>
        <row r="93">
          <cell r="I93">
            <v>0</v>
          </cell>
        </row>
        <row r="94">
          <cell r="I94">
            <v>0</v>
          </cell>
        </row>
        <row r="95">
          <cell r="I95">
            <v>0</v>
          </cell>
        </row>
        <row r="96">
          <cell r="I96">
            <v>0</v>
          </cell>
        </row>
        <row r="97">
          <cell r="I97">
            <v>0</v>
          </cell>
        </row>
        <row r="98">
          <cell r="I98">
            <v>0</v>
          </cell>
        </row>
        <row r="99">
          <cell r="I99">
            <v>0</v>
          </cell>
        </row>
        <row r="100">
          <cell r="I100">
            <v>0</v>
          </cell>
        </row>
        <row r="101">
          <cell r="I101">
            <v>0</v>
          </cell>
        </row>
        <row r="102">
          <cell r="I102">
            <v>0</v>
          </cell>
        </row>
        <row r="103">
          <cell r="I103">
            <v>0</v>
          </cell>
        </row>
        <row r="104">
          <cell r="I104">
            <v>0</v>
          </cell>
        </row>
        <row r="105">
          <cell r="I105">
            <v>0</v>
          </cell>
        </row>
        <row r="106">
          <cell r="I106">
            <v>0</v>
          </cell>
        </row>
        <row r="107">
          <cell r="I107">
            <v>0</v>
          </cell>
        </row>
        <row r="108">
          <cell r="I108">
            <v>0</v>
          </cell>
        </row>
        <row r="109">
          <cell r="I109">
            <v>0</v>
          </cell>
        </row>
        <row r="110">
          <cell r="I110">
            <v>0</v>
          </cell>
        </row>
        <row r="111">
          <cell r="I111">
            <v>0</v>
          </cell>
        </row>
        <row r="112">
          <cell r="I112">
            <v>0</v>
          </cell>
        </row>
        <row r="113">
          <cell r="I113">
            <v>0</v>
          </cell>
        </row>
        <row r="114">
          <cell r="I114">
            <v>0</v>
          </cell>
        </row>
        <row r="115">
          <cell r="I115">
            <v>0</v>
          </cell>
        </row>
        <row r="116">
          <cell r="I116">
            <v>0</v>
          </cell>
        </row>
        <row r="117">
          <cell r="I117">
            <v>0</v>
          </cell>
        </row>
        <row r="118">
          <cell r="I118">
            <v>0</v>
          </cell>
        </row>
        <row r="119">
          <cell r="I119">
            <v>0</v>
          </cell>
        </row>
        <row r="120">
          <cell r="I120">
            <v>0</v>
          </cell>
        </row>
        <row r="121">
          <cell r="I121">
            <v>0</v>
          </cell>
        </row>
        <row r="122">
          <cell r="I122">
            <v>0</v>
          </cell>
        </row>
        <row r="123">
          <cell r="I123">
            <v>0</v>
          </cell>
        </row>
        <row r="124">
          <cell r="I124">
            <v>0</v>
          </cell>
        </row>
        <row r="125">
          <cell r="I125">
            <v>0</v>
          </cell>
        </row>
        <row r="126">
          <cell r="I126">
            <v>0</v>
          </cell>
        </row>
        <row r="127">
          <cell r="I127">
            <v>0</v>
          </cell>
        </row>
        <row r="128">
          <cell r="I128">
            <v>0</v>
          </cell>
        </row>
        <row r="129">
          <cell r="I129">
            <v>0</v>
          </cell>
        </row>
        <row r="130">
          <cell r="I130">
            <v>0</v>
          </cell>
        </row>
        <row r="131">
          <cell r="I131">
            <v>0</v>
          </cell>
        </row>
        <row r="132">
          <cell r="I132">
            <v>0</v>
          </cell>
        </row>
        <row r="133">
          <cell r="I133">
            <v>0</v>
          </cell>
        </row>
        <row r="134">
          <cell r="I134">
            <v>0</v>
          </cell>
        </row>
        <row r="135">
          <cell r="I135">
            <v>0</v>
          </cell>
        </row>
        <row r="136">
          <cell r="I136">
            <v>0</v>
          </cell>
        </row>
        <row r="137">
          <cell r="I137">
            <v>0</v>
          </cell>
        </row>
        <row r="138">
          <cell r="I138">
            <v>0</v>
          </cell>
        </row>
        <row r="139">
          <cell r="I139">
            <v>0</v>
          </cell>
        </row>
        <row r="140">
          <cell r="I140">
            <v>0</v>
          </cell>
        </row>
        <row r="141">
          <cell r="I141">
            <v>0</v>
          </cell>
        </row>
        <row r="142">
          <cell r="I142">
            <v>0</v>
          </cell>
        </row>
        <row r="143">
          <cell r="I143">
            <v>0</v>
          </cell>
        </row>
        <row r="144">
          <cell r="I144">
            <v>0</v>
          </cell>
        </row>
        <row r="145">
          <cell r="I145">
            <v>0</v>
          </cell>
        </row>
        <row r="146">
          <cell r="I146">
            <v>0</v>
          </cell>
        </row>
        <row r="147">
          <cell r="I147">
            <v>0</v>
          </cell>
        </row>
        <row r="148">
          <cell r="I148">
            <v>0</v>
          </cell>
        </row>
        <row r="149">
          <cell r="I149">
            <v>0</v>
          </cell>
        </row>
        <row r="150">
          <cell r="I150">
            <v>0</v>
          </cell>
        </row>
        <row r="151">
          <cell r="I151">
            <v>0</v>
          </cell>
        </row>
        <row r="152">
          <cell r="I152">
            <v>0</v>
          </cell>
        </row>
        <row r="153">
          <cell r="I153">
            <v>0</v>
          </cell>
        </row>
        <row r="154">
          <cell r="I154">
            <v>0</v>
          </cell>
        </row>
        <row r="155">
          <cell r="I155">
            <v>0</v>
          </cell>
        </row>
        <row r="156">
          <cell r="I156">
            <v>0</v>
          </cell>
        </row>
        <row r="157">
          <cell r="I157">
            <v>0</v>
          </cell>
        </row>
        <row r="158">
          <cell r="I158">
            <v>0</v>
          </cell>
        </row>
        <row r="159">
          <cell r="I159">
            <v>0</v>
          </cell>
        </row>
        <row r="160">
          <cell r="I160">
            <v>0</v>
          </cell>
        </row>
        <row r="161">
          <cell r="I161">
            <v>0</v>
          </cell>
        </row>
        <row r="162">
          <cell r="I162">
            <v>0</v>
          </cell>
        </row>
        <row r="163">
          <cell r="I163">
            <v>0</v>
          </cell>
        </row>
        <row r="164">
          <cell r="I164">
            <v>0</v>
          </cell>
        </row>
      </sheetData>
      <sheetData sheetId="5">
        <row r="13">
          <cell r="U13" t="str">
            <v>Bryan Dawi</v>
          </cell>
        </row>
        <row r="14">
          <cell r="U14">
            <v>229594.29932028631</v>
          </cell>
        </row>
      </sheetData>
      <sheetData sheetId="6">
        <row r="4">
          <cell r="X4">
            <v>43374</v>
          </cell>
        </row>
        <row r="22">
          <cell r="W22">
            <v>43374</v>
          </cell>
        </row>
      </sheetData>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233" tableType="xml" totalsRowShown="0" connectionId="1">
  <autoFilter ref="A1:H233" xr:uid="{00000000-0009-0000-0100-000001000000}"/>
  <tableColumns count="8">
    <tableColumn id="1" xr3:uid="{00000000-0010-0000-0000-000001000000}" uniqueName="as_of" name="Date">
      <xmlColumnPr mapId="1" xpath="/ns1:stocks/@as_of" xmlDataType="dateTime"/>
    </tableColumn>
    <tableColumn id="2" xr3:uid="{00000000-0010-0000-0000-000002000000}" uniqueName="symbol" name="symbol">
      <xmlColumnPr mapId="1" xpath="/ns1:stocks/ns1:stock/@symbol" xmlDataType="string"/>
    </tableColumn>
    <tableColumn id="3" xr3:uid="{00000000-0010-0000-0000-000003000000}" uniqueName="ns1:name" name="Name">
      <xmlColumnPr mapId="1" xpath="/ns1:stocks/ns1:stock/ns1:name" xmlDataType="string"/>
    </tableColumn>
    <tableColumn id="4" xr3:uid="{00000000-0010-0000-0000-000004000000}" uniqueName="ns1:currency" name="Currency">
      <xmlColumnPr mapId="1" xpath="/ns1:stocks/ns1:stock/ns1:price/ns1:currency" xmlDataType="string"/>
    </tableColumn>
    <tableColumn id="5" xr3:uid="{00000000-0010-0000-0000-000005000000}" uniqueName="ns1:amount" name="Closing">
      <xmlColumnPr mapId="1" xpath="/ns1:stocks/ns1:stock/ns1:price/ns1:amount" xmlDataType="double"/>
    </tableColumn>
    <tableColumn id="6" xr3:uid="{00000000-0010-0000-0000-000006000000}" uniqueName="ns1:percent_change" name="% change">
      <xmlColumnPr mapId="1" xpath="/ns1:stocks/ns1:stock/ns1:percent_change" xmlDataType="double"/>
    </tableColumn>
    <tableColumn id="7" xr3:uid="{00000000-0010-0000-0000-000007000000}" uniqueName="ns1:volume" name="Volume">
      <xmlColumnPr mapId="1" xpath="/ns1:stocks/ns1:stock/ns1:volume" xmlDataType="integer"/>
    </tableColumn>
    <tableColumn id="8" xr3:uid="{00000000-0010-0000-0000-000008000000}" uniqueName="8" name="Valu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AAESpreadsheets/" TargetMode="External"/><Relationship Id="rId1" Type="http://schemas.openxmlformats.org/officeDocument/2006/relationships/hyperlink" Target="https://www.facebook.com/groups/AAESpreadsheet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facebook.com/groups" TargetMode="External"/><Relationship Id="rId2" Type="http://schemas.openxmlformats.org/officeDocument/2006/relationships/hyperlink" Target="http://www.facebook.com/AAESpreadsheets" TargetMode="External"/><Relationship Id="rId1" Type="http://schemas.openxmlformats.org/officeDocument/2006/relationships/hyperlink" Target="mailto:aaespreadsheets@gmail.com" TargetMode="External"/><Relationship Id="rId5" Type="http://schemas.openxmlformats.org/officeDocument/2006/relationships/drawing" Target="../drawings/drawing8.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FFFAEB"/>
  </sheetPr>
  <dimension ref="A1:Y51"/>
  <sheetViews>
    <sheetView showGridLines="0" showRowColHeaders="0" tabSelected="1" workbookViewId="0">
      <pane ySplit="5" topLeftCell="A6" activePane="bottomLeft" state="frozen"/>
      <selection pane="bottomLeft"/>
    </sheetView>
  </sheetViews>
  <sheetFormatPr defaultColWidth="0" defaultRowHeight="16.5" x14ac:dyDescent="0.3"/>
  <cols>
    <col min="1" max="1" width="4" style="2" customWidth="1"/>
    <col min="2" max="9" width="9.140625" style="3" customWidth="1"/>
    <col min="10" max="10" width="9.5703125" style="3" customWidth="1"/>
    <col min="11" max="14" width="9.140625" style="3" customWidth="1"/>
    <col min="15" max="15" width="9.5703125" style="3" customWidth="1"/>
    <col min="16" max="20" width="9.140625" style="3" customWidth="1"/>
    <col min="21" max="21" width="10.140625" style="3" customWidth="1"/>
    <col min="22" max="22" width="9.140625" style="2" customWidth="1"/>
    <col min="23" max="23" width="22.7109375" style="2" hidden="1" customWidth="1"/>
    <col min="24" max="16384" width="9.140625" style="2" hidden="1"/>
  </cols>
  <sheetData>
    <row r="1" spans="1:25" ht="9" customHeight="1" x14ac:dyDescent="0.3">
      <c r="A1" s="29"/>
      <c r="B1" s="29"/>
      <c r="C1" s="29"/>
      <c r="D1" s="29"/>
      <c r="E1" s="29"/>
      <c r="F1" s="29"/>
      <c r="G1" s="29"/>
      <c r="H1" s="29"/>
      <c r="I1" s="29"/>
      <c r="J1" s="29"/>
      <c r="K1" s="29"/>
      <c r="L1" s="29"/>
      <c r="M1" s="29"/>
      <c r="N1" s="29"/>
      <c r="O1" s="29"/>
      <c r="P1" s="29"/>
      <c r="Q1" s="29"/>
      <c r="R1" s="29"/>
      <c r="S1" s="29"/>
      <c r="T1" s="29"/>
      <c r="U1" s="29"/>
      <c r="V1" s="29"/>
      <c r="W1" s="526"/>
    </row>
    <row r="2" spans="1:25" ht="16.5" customHeight="1" x14ac:dyDescent="0.3">
      <c r="A2" s="29"/>
      <c r="B2" s="29"/>
      <c r="C2" s="133"/>
      <c r="D2" s="133"/>
      <c r="E2" s="133"/>
      <c r="F2" s="133"/>
      <c r="G2" s="133"/>
      <c r="H2" s="29"/>
      <c r="I2" s="528" t="s">
        <v>375</v>
      </c>
      <c r="J2" s="528"/>
      <c r="K2" s="528"/>
      <c r="L2" s="528"/>
      <c r="M2" s="528"/>
      <c r="N2" s="528"/>
      <c r="O2" s="528"/>
      <c r="P2" s="528"/>
      <c r="Q2" s="134"/>
      <c r="R2" s="133"/>
      <c r="S2" s="29"/>
      <c r="T2" s="133"/>
      <c r="U2" s="133"/>
      <c r="V2" s="29"/>
      <c r="W2" s="526"/>
      <c r="X2" s="526"/>
      <c r="Y2" s="200"/>
    </row>
    <row r="3" spans="1:25" ht="16.5" customHeight="1" x14ac:dyDescent="0.3">
      <c r="A3" s="29"/>
      <c r="B3" s="133"/>
      <c r="C3" s="133"/>
      <c r="D3" s="133"/>
      <c r="E3" s="133"/>
      <c r="F3" s="133"/>
      <c r="G3" s="133"/>
      <c r="H3" s="133"/>
      <c r="I3" s="528"/>
      <c r="J3" s="528"/>
      <c r="K3" s="528"/>
      <c r="L3" s="528"/>
      <c r="M3" s="528"/>
      <c r="N3" s="528"/>
      <c r="O3" s="528"/>
      <c r="P3" s="528"/>
      <c r="Q3" s="134"/>
      <c r="R3" s="133"/>
      <c r="S3" s="137" t="s">
        <v>762</v>
      </c>
      <c r="T3" s="133"/>
      <c r="U3" s="133"/>
      <c r="V3" s="29"/>
      <c r="W3" s="527"/>
      <c r="X3" s="526"/>
      <c r="Y3" s="200"/>
    </row>
    <row r="4" spans="1:25" ht="16.5" customHeight="1" x14ac:dyDescent="0.3">
      <c r="A4" s="29"/>
      <c r="B4" s="29"/>
      <c r="C4" s="135"/>
      <c r="D4" s="135"/>
      <c r="E4" s="135"/>
      <c r="F4" s="135"/>
      <c r="G4" s="135"/>
      <c r="H4" s="29"/>
      <c r="I4" s="532" t="s">
        <v>374</v>
      </c>
      <c r="J4" s="532"/>
      <c r="K4" s="532"/>
      <c r="L4" s="532"/>
      <c r="M4" s="532"/>
      <c r="N4" s="532"/>
      <c r="O4" s="532"/>
      <c r="P4" s="135"/>
      <c r="Q4" s="135"/>
      <c r="R4" s="135"/>
      <c r="S4" s="138" t="str">
        <f>"Registered to "&amp;'1-Tranche'!$D$2</f>
        <v>Registered to Trial Version</v>
      </c>
      <c r="T4" s="135"/>
      <c r="U4" s="135"/>
      <c r="V4" s="29"/>
      <c r="W4" s="527"/>
      <c r="X4" s="526"/>
      <c r="Y4" s="200"/>
    </row>
    <row r="5" spans="1:25" ht="7.5" customHeight="1" x14ac:dyDescent="0.3">
      <c r="A5" s="29"/>
      <c r="B5" s="136"/>
      <c r="C5" s="136"/>
      <c r="D5" s="136"/>
      <c r="E5" s="136"/>
      <c r="F5" s="136"/>
      <c r="G5" s="136"/>
      <c r="H5" s="136"/>
      <c r="I5" s="136"/>
      <c r="J5" s="136"/>
      <c r="K5" s="136"/>
      <c r="L5" s="136"/>
      <c r="M5" s="136"/>
      <c r="N5" s="136"/>
      <c r="O5" s="136"/>
      <c r="P5" s="136"/>
      <c r="Q5" s="136"/>
      <c r="R5" s="136"/>
      <c r="S5" s="136"/>
      <c r="T5" s="136"/>
      <c r="U5" s="136"/>
      <c r="V5" s="29"/>
      <c r="W5" s="526"/>
      <c r="X5" s="526"/>
      <c r="Y5" s="200"/>
    </row>
    <row r="6" spans="1:25" x14ac:dyDescent="0.3">
      <c r="A6" s="141"/>
      <c r="B6" s="141"/>
      <c r="C6" s="141"/>
      <c r="D6" s="534" t="s">
        <v>235</v>
      </c>
      <c r="E6" s="534"/>
      <c r="F6" s="534"/>
      <c r="G6" s="534"/>
      <c r="H6" s="534"/>
      <c r="I6" s="534"/>
      <c r="J6" s="534"/>
      <c r="K6" s="534"/>
      <c r="L6" s="534"/>
      <c r="M6" s="534"/>
      <c r="N6" s="534"/>
      <c r="O6" s="534"/>
      <c r="P6" s="534"/>
      <c r="Q6" s="534"/>
      <c r="R6" s="534"/>
      <c r="S6" s="534"/>
      <c r="T6" s="141"/>
      <c r="U6" s="199">
        <v>1</v>
      </c>
      <c r="V6" s="141"/>
      <c r="W6" s="526">
        <v>-1263287135</v>
      </c>
      <c r="X6" s="526"/>
      <c r="Y6" s="200"/>
    </row>
    <row r="7" spans="1:25" x14ac:dyDescent="0.3">
      <c r="W7" s="526"/>
      <c r="X7" s="526"/>
      <c r="Y7" s="200"/>
    </row>
    <row r="8" spans="1:25" x14ac:dyDescent="0.3">
      <c r="W8" s="526"/>
      <c r="X8" s="526"/>
      <c r="Y8" s="200"/>
    </row>
    <row r="9" spans="1:25" x14ac:dyDescent="0.3">
      <c r="W9" s="526"/>
      <c r="X9" s="526"/>
      <c r="Y9" s="200"/>
    </row>
    <row r="10" spans="1:25" x14ac:dyDescent="0.3">
      <c r="W10" s="526" t="str">
        <f>IF(W6="","Please Enable Macro",IF(W6=1,IF(AND(W6=1,OR(W7="",W7=1)),"Registration Error!","Welcome!"),"Welcome!"))</f>
        <v>Welcome!</v>
      </c>
      <c r="X10" s="526"/>
      <c r="Y10" s="200"/>
    </row>
    <row r="11" spans="1:25" ht="37.5" customHeight="1" x14ac:dyDescent="0.3">
      <c r="W11" s="526" t="str">
        <f>IF(W10="registration error!","Registered to "&amp;REGNAME&amp;". Please contact AAES if you received this error.",IF(W10="Please Enable Macro","All sheet calculations are based on macro, scroll down for tutorial.","Successfully "&amp;S4&amp;"."))</f>
        <v>Successfully Registered to Trial Version.</v>
      </c>
      <c r="X11" s="526"/>
      <c r="Y11" s="200"/>
    </row>
    <row r="12" spans="1:25" ht="69" customHeight="1" x14ac:dyDescent="0.3">
      <c r="B12" s="535" t="str">
        <f>W10</f>
        <v>Welcome!</v>
      </c>
      <c r="C12" s="535"/>
      <c r="D12" s="535"/>
      <c r="E12" s="535"/>
      <c r="F12" s="535"/>
      <c r="G12" s="535"/>
      <c r="H12" s="535"/>
      <c r="I12" s="535"/>
      <c r="J12" s="535"/>
      <c r="K12" s="535"/>
      <c r="L12" s="535"/>
      <c r="M12" s="535"/>
      <c r="N12" s="535"/>
      <c r="O12" s="535"/>
      <c r="P12" s="535"/>
      <c r="Q12" s="535"/>
      <c r="R12" s="535"/>
      <c r="S12" s="535"/>
      <c r="T12" s="535"/>
      <c r="U12" s="535"/>
    </row>
    <row r="13" spans="1:25" ht="21.95" customHeight="1" x14ac:dyDescent="0.3">
      <c r="B13" s="12"/>
      <c r="C13" s="12"/>
      <c r="D13" s="12"/>
      <c r="E13" s="12"/>
      <c r="F13" s="536" t="str">
        <f>W11</f>
        <v>Successfully Registered to Trial Version.</v>
      </c>
      <c r="G13" s="536"/>
      <c r="H13" s="536"/>
      <c r="I13" s="536"/>
      <c r="J13" s="536"/>
      <c r="K13" s="536"/>
      <c r="L13" s="536"/>
      <c r="M13" s="536"/>
      <c r="N13" s="536"/>
      <c r="O13" s="536"/>
      <c r="P13" s="536"/>
      <c r="Q13" s="536"/>
      <c r="R13" s="12"/>
      <c r="S13" s="12"/>
      <c r="T13" s="12"/>
      <c r="U13" s="12"/>
    </row>
    <row r="14" spans="1:25" x14ac:dyDescent="0.3">
      <c r="B14" s="12"/>
      <c r="C14" s="12"/>
      <c r="D14" s="12"/>
      <c r="E14" s="12"/>
      <c r="F14" s="12"/>
      <c r="G14" s="12"/>
      <c r="H14" s="12"/>
      <c r="I14" s="12"/>
      <c r="J14" s="12"/>
      <c r="K14" s="12"/>
      <c r="L14" s="12"/>
      <c r="M14" s="12"/>
      <c r="N14" s="12"/>
      <c r="O14" s="12"/>
      <c r="P14" s="12"/>
      <c r="Q14" s="12"/>
      <c r="R14" s="12"/>
      <c r="S14" s="12"/>
      <c r="T14" s="12"/>
      <c r="U14" s="12"/>
    </row>
    <row r="15" spans="1:25" ht="11.25" customHeight="1" x14ac:dyDescent="0.3">
      <c r="B15" s="12"/>
      <c r="C15" s="12"/>
      <c r="D15" s="12"/>
      <c r="E15" s="12"/>
      <c r="F15" s="12"/>
      <c r="G15" s="12"/>
      <c r="H15" s="12"/>
      <c r="I15" s="12"/>
      <c r="J15" s="12"/>
      <c r="K15" s="12"/>
      <c r="L15" s="12"/>
      <c r="M15" s="12"/>
      <c r="N15" s="201" t="s">
        <v>236</v>
      </c>
      <c r="O15" s="12"/>
      <c r="P15" s="12"/>
      <c r="Q15" s="12"/>
      <c r="R15" s="12"/>
      <c r="S15" s="12"/>
      <c r="T15" s="12"/>
      <c r="U15" s="12"/>
    </row>
    <row r="16" spans="1:25" x14ac:dyDescent="0.3">
      <c r="B16" s="12"/>
      <c r="C16" s="12"/>
      <c r="D16" s="12"/>
      <c r="E16" s="12"/>
      <c r="F16" s="12"/>
      <c r="G16" s="12"/>
      <c r="H16" s="12"/>
      <c r="I16" s="12"/>
      <c r="J16" s="12"/>
      <c r="K16" s="12"/>
      <c r="L16" s="12"/>
      <c r="M16" s="12"/>
      <c r="N16" s="201" t="s">
        <v>237</v>
      </c>
      <c r="O16" s="12"/>
      <c r="P16" s="12"/>
      <c r="Q16" s="12"/>
      <c r="R16" s="12"/>
      <c r="S16" s="12"/>
      <c r="T16" s="12"/>
      <c r="U16" s="12"/>
    </row>
    <row r="17" spans="2:21" ht="18.75" x14ac:dyDescent="0.3">
      <c r="B17" s="12"/>
      <c r="C17" s="12"/>
      <c r="D17" s="202" t="s">
        <v>238</v>
      </c>
      <c r="E17" s="12"/>
      <c r="F17" s="12"/>
      <c r="G17" s="12"/>
      <c r="H17" s="203" t="s">
        <v>239</v>
      </c>
      <c r="I17" s="12"/>
      <c r="J17" s="12"/>
      <c r="K17" s="12"/>
      <c r="L17" s="12"/>
      <c r="M17" s="537" t="s">
        <v>240</v>
      </c>
      <c r="N17" s="537"/>
      <c r="O17" s="537"/>
      <c r="P17" s="537"/>
      <c r="Q17" s="537"/>
      <c r="R17" s="537"/>
      <c r="S17" s="537"/>
      <c r="T17" s="204"/>
      <c r="U17" s="12"/>
    </row>
    <row r="18" spans="2:21" x14ac:dyDescent="0.3">
      <c r="B18" s="12"/>
      <c r="C18" s="12"/>
      <c r="D18" s="12"/>
      <c r="E18" s="12"/>
      <c r="F18" s="12"/>
      <c r="G18" s="12"/>
      <c r="H18" s="12"/>
      <c r="I18" s="12"/>
      <c r="J18" s="12"/>
      <c r="K18" s="12"/>
      <c r="L18" s="205"/>
      <c r="M18" s="12"/>
      <c r="N18" s="12"/>
      <c r="O18" s="12"/>
      <c r="P18" s="12"/>
      <c r="Q18" s="12"/>
      <c r="R18" s="12"/>
      <c r="S18" s="12"/>
      <c r="T18" s="206"/>
      <c r="U18" s="12"/>
    </row>
    <row r="19" spans="2:21" x14ac:dyDescent="0.3">
      <c r="B19" s="12"/>
      <c r="C19" s="12"/>
      <c r="D19" s="12"/>
      <c r="E19" s="12"/>
      <c r="F19" s="12"/>
      <c r="G19" s="12"/>
      <c r="H19" s="12"/>
      <c r="I19" s="12"/>
      <c r="J19" s="12"/>
      <c r="K19" s="12"/>
      <c r="L19" s="205"/>
      <c r="M19" s="12"/>
      <c r="N19" s="12"/>
      <c r="O19" s="12"/>
      <c r="P19" s="12"/>
      <c r="Q19" s="12"/>
      <c r="R19" s="12"/>
      <c r="S19" s="12"/>
      <c r="T19" s="206"/>
      <c r="U19" s="12"/>
    </row>
    <row r="20" spans="2:21" x14ac:dyDescent="0.3">
      <c r="B20" s="12"/>
      <c r="C20" s="12"/>
      <c r="D20" s="12" t="s">
        <v>334</v>
      </c>
      <c r="E20" s="12"/>
      <c r="F20" s="12"/>
      <c r="G20" s="12"/>
      <c r="H20" s="12"/>
      <c r="I20" s="12"/>
      <c r="J20" s="12"/>
      <c r="K20" s="12"/>
      <c r="L20" s="205"/>
      <c r="M20" s="538" t="s">
        <v>241</v>
      </c>
      <c r="N20" s="538"/>
      <c r="O20" s="538"/>
      <c r="P20" s="538"/>
      <c r="Q20" s="538"/>
      <c r="R20" s="538"/>
      <c r="S20" s="538"/>
      <c r="T20" s="206"/>
      <c r="U20" s="12"/>
    </row>
    <row r="21" spans="2:21" ht="18.75" x14ac:dyDescent="0.3">
      <c r="B21" s="12"/>
      <c r="C21" s="12"/>
      <c r="D21" s="12" t="s">
        <v>242</v>
      </c>
      <c r="E21" s="12"/>
      <c r="F21" s="12"/>
      <c r="G21" s="12"/>
      <c r="H21" s="12"/>
      <c r="I21" s="12"/>
      <c r="J21" s="12"/>
      <c r="K21" s="12"/>
      <c r="L21" s="205"/>
      <c r="M21" s="529" t="s">
        <v>243</v>
      </c>
      <c r="N21" s="529"/>
      <c r="O21" s="529"/>
      <c r="P21" s="529"/>
      <c r="Q21" s="529"/>
      <c r="R21" s="529"/>
      <c r="S21" s="529"/>
      <c r="T21" s="206"/>
      <c r="U21" s="12"/>
    </row>
    <row r="22" spans="2:21" ht="30.75" customHeight="1" x14ac:dyDescent="0.3">
      <c r="B22" s="12"/>
      <c r="C22" s="12"/>
      <c r="D22" s="12"/>
      <c r="E22" s="12"/>
      <c r="F22" s="12"/>
      <c r="G22" s="12"/>
      <c r="H22" s="12"/>
      <c r="I22" s="12"/>
      <c r="J22" s="12"/>
      <c r="K22" s="12"/>
      <c r="L22" s="205"/>
      <c r="M22" s="12"/>
      <c r="N22" s="12"/>
      <c r="O22" s="12"/>
      <c r="P22" s="12"/>
      <c r="Q22" s="12"/>
      <c r="R22" s="12"/>
      <c r="S22" s="12"/>
      <c r="T22" s="206"/>
      <c r="U22" s="12"/>
    </row>
    <row r="23" spans="2:21" x14ac:dyDescent="0.3">
      <c r="B23" s="12"/>
      <c r="C23" s="12"/>
      <c r="D23" s="207" t="s">
        <v>244</v>
      </c>
      <c r="E23" s="12" t="s">
        <v>335</v>
      </c>
      <c r="F23" s="12"/>
      <c r="G23" s="12"/>
      <c r="H23" s="12"/>
      <c r="I23" s="12"/>
      <c r="J23" s="12"/>
      <c r="K23" s="12"/>
      <c r="L23" s="12"/>
      <c r="M23" s="12"/>
      <c r="N23" s="12"/>
      <c r="O23" s="12"/>
      <c r="P23" s="12"/>
      <c r="Q23" s="12"/>
      <c r="R23" s="12"/>
      <c r="S23" s="12"/>
      <c r="T23" s="12"/>
      <c r="U23" s="12"/>
    </row>
    <row r="24" spans="2:21" ht="18.75" x14ac:dyDescent="0.3">
      <c r="B24" s="12"/>
      <c r="C24" s="12"/>
      <c r="D24" s="207"/>
      <c r="E24" s="207" t="s">
        <v>245</v>
      </c>
      <c r="F24" s="12"/>
      <c r="G24" s="12"/>
      <c r="H24" s="12"/>
      <c r="I24" s="12"/>
      <c r="J24" s="12"/>
      <c r="K24" s="12"/>
      <c r="L24" s="12"/>
      <c r="M24" s="12"/>
      <c r="N24" s="12"/>
      <c r="O24" s="12"/>
      <c r="P24" s="12"/>
      <c r="Q24" s="12"/>
      <c r="R24" s="12"/>
      <c r="S24" s="12"/>
      <c r="T24" s="204"/>
      <c r="U24" s="12"/>
    </row>
    <row r="25" spans="2:21" x14ac:dyDescent="0.3">
      <c r="B25" s="12"/>
      <c r="C25" s="12"/>
      <c r="D25" s="208" t="s">
        <v>246</v>
      </c>
      <c r="E25" s="12"/>
      <c r="F25" s="12"/>
      <c r="G25" s="12"/>
      <c r="H25" s="12"/>
      <c r="I25" s="12"/>
      <c r="J25" s="12"/>
      <c r="K25" s="12"/>
      <c r="L25" s="12"/>
      <c r="M25" s="12"/>
      <c r="N25" s="12"/>
      <c r="O25" s="12"/>
      <c r="P25" s="12"/>
      <c r="Q25" s="12"/>
      <c r="R25" s="12"/>
      <c r="S25" s="12"/>
      <c r="T25" s="12"/>
      <c r="U25" s="12"/>
    </row>
    <row r="26" spans="2:21" x14ac:dyDescent="0.3">
      <c r="B26" s="12"/>
      <c r="C26" s="12"/>
      <c r="D26" s="12"/>
      <c r="E26" s="12"/>
      <c r="F26" s="12"/>
      <c r="G26" s="12"/>
      <c r="H26" s="12"/>
      <c r="I26" s="12"/>
      <c r="J26" s="12"/>
      <c r="K26" s="12"/>
      <c r="L26" s="12"/>
      <c r="M26" s="530" t="s">
        <v>247</v>
      </c>
      <c r="N26" s="530"/>
      <c r="O26" s="530"/>
      <c r="P26" s="530"/>
      <c r="Q26" s="530"/>
      <c r="R26" s="530"/>
      <c r="S26" s="530"/>
      <c r="T26" s="12"/>
      <c r="U26" s="12"/>
    </row>
    <row r="27" spans="2:21" x14ac:dyDescent="0.3">
      <c r="B27" s="12"/>
      <c r="C27" s="12"/>
      <c r="D27" s="207"/>
      <c r="E27" s="12"/>
      <c r="F27" s="12"/>
      <c r="G27" s="12"/>
      <c r="H27" s="12"/>
      <c r="I27" s="12"/>
      <c r="J27" s="12"/>
      <c r="K27" s="12"/>
      <c r="L27" s="12"/>
      <c r="M27" s="531" t="s">
        <v>248</v>
      </c>
      <c r="N27" s="531"/>
      <c r="O27" s="531"/>
      <c r="P27" s="531"/>
      <c r="Q27" s="531"/>
      <c r="R27" s="531"/>
      <c r="S27" s="531"/>
      <c r="T27" s="12"/>
      <c r="U27" s="12"/>
    </row>
    <row r="28" spans="2:21" x14ac:dyDescent="0.3">
      <c r="B28" s="12"/>
      <c r="C28" s="12"/>
      <c r="D28" s="207"/>
      <c r="E28" s="12"/>
      <c r="F28" s="12"/>
      <c r="G28" s="12"/>
      <c r="H28" s="12"/>
      <c r="I28" s="12"/>
      <c r="J28" s="12"/>
      <c r="K28" s="12"/>
      <c r="L28" s="12"/>
      <c r="M28" s="12"/>
      <c r="N28" s="12"/>
      <c r="O28" s="12"/>
      <c r="P28" s="12"/>
      <c r="Q28" s="12"/>
      <c r="R28" s="12"/>
      <c r="S28" s="12"/>
      <c r="T28" s="12"/>
      <c r="U28" s="12"/>
    </row>
    <row r="29" spans="2:21" x14ac:dyDescent="0.3">
      <c r="B29" s="12"/>
      <c r="C29" s="12"/>
      <c r="D29" s="12"/>
      <c r="E29" s="12"/>
      <c r="F29" s="12"/>
      <c r="G29" s="12"/>
      <c r="H29" s="12"/>
      <c r="I29" s="12"/>
      <c r="J29" s="12"/>
      <c r="K29" s="12"/>
      <c r="L29" s="12"/>
      <c r="M29" s="12"/>
      <c r="N29" s="12"/>
      <c r="O29" s="12"/>
      <c r="P29" s="12"/>
      <c r="Q29" s="12"/>
      <c r="R29" s="12"/>
      <c r="S29" s="12"/>
      <c r="T29" s="12"/>
      <c r="U29" s="12"/>
    </row>
    <row r="30" spans="2:21" x14ac:dyDescent="0.3">
      <c r="B30" s="12"/>
      <c r="C30" s="12"/>
      <c r="D30" s="12"/>
      <c r="E30" s="12"/>
      <c r="F30" s="12"/>
      <c r="G30" s="12"/>
      <c r="H30" s="12"/>
      <c r="I30" s="12"/>
      <c r="J30" s="12"/>
      <c r="K30" s="12"/>
      <c r="L30" s="12"/>
      <c r="M30" s="12"/>
      <c r="N30" s="12"/>
      <c r="O30" s="12"/>
      <c r="P30" s="12"/>
      <c r="Q30" s="12"/>
      <c r="R30" s="12"/>
      <c r="S30" s="12"/>
      <c r="T30" s="12"/>
      <c r="U30" s="12"/>
    </row>
    <row r="31" spans="2:21" x14ac:dyDescent="0.3">
      <c r="B31" s="12"/>
      <c r="C31" s="12"/>
      <c r="D31" s="12"/>
      <c r="E31" s="12"/>
      <c r="F31" s="12"/>
      <c r="G31" s="12"/>
      <c r="H31" s="12"/>
      <c r="I31" s="12"/>
      <c r="J31" s="12"/>
      <c r="K31" s="12"/>
      <c r="L31" s="12"/>
      <c r="M31" s="12"/>
      <c r="N31" s="12"/>
      <c r="O31" s="12"/>
      <c r="P31" s="12"/>
      <c r="Q31" s="12"/>
      <c r="R31" s="12"/>
      <c r="S31" s="12"/>
      <c r="T31" s="12"/>
      <c r="U31" s="12"/>
    </row>
    <row r="32" spans="2:21" ht="18.75" x14ac:dyDescent="0.3">
      <c r="B32" s="12"/>
      <c r="C32" s="12"/>
      <c r="D32" s="207" t="s">
        <v>249</v>
      </c>
      <c r="E32" s="12" t="s">
        <v>336</v>
      </c>
      <c r="F32" s="12"/>
      <c r="G32" s="12"/>
      <c r="H32" s="12"/>
      <c r="I32" s="12"/>
      <c r="J32" s="12"/>
      <c r="K32" s="12"/>
      <c r="L32" s="12"/>
      <c r="M32" s="12"/>
      <c r="N32" s="202" t="s">
        <v>250</v>
      </c>
      <c r="O32" s="12"/>
      <c r="P32" s="12"/>
      <c r="Q32" s="12"/>
      <c r="R32" s="12"/>
      <c r="S32" s="12"/>
      <c r="T32" s="12"/>
      <c r="U32" s="12"/>
    </row>
    <row r="33" spans="2:21" x14ac:dyDescent="0.3">
      <c r="B33" s="12"/>
      <c r="C33" s="12"/>
      <c r="D33" s="208" t="s">
        <v>251</v>
      </c>
      <c r="E33" s="12"/>
      <c r="F33" s="12"/>
      <c r="G33" s="12"/>
      <c r="H33" s="12"/>
      <c r="I33" s="12"/>
      <c r="J33" s="12"/>
      <c r="K33" s="12"/>
      <c r="L33" s="12"/>
      <c r="M33" s="12"/>
      <c r="N33" s="207" t="s">
        <v>252</v>
      </c>
      <c r="O33" s="12" t="s">
        <v>337</v>
      </c>
      <c r="P33" s="12"/>
      <c r="Q33" s="12"/>
      <c r="R33" s="12"/>
      <c r="S33" s="12"/>
      <c r="T33" s="12"/>
      <c r="U33" s="12"/>
    </row>
    <row r="34" spans="2:21" x14ac:dyDescent="0.3">
      <c r="B34" s="12"/>
      <c r="C34" s="12"/>
      <c r="D34" s="12"/>
      <c r="E34" s="12"/>
      <c r="F34" s="12"/>
      <c r="G34" s="12"/>
      <c r="H34" s="12"/>
      <c r="I34" s="12"/>
      <c r="J34" s="12"/>
      <c r="K34" s="12"/>
      <c r="L34" s="12"/>
      <c r="M34" s="12"/>
      <c r="N34" s="207" t="s">
        <v>253</v>
      </c>
      <c r="O34" s="12" t="s">
        <v>338</v>
      </c>
      <c r="P34" s="12"/>
      <c r="Q34" s="12"/>
      <c r="R34" s="12"/>
      <c r="S34" s="12"/>
      <c r="T34" s="12"/>
      <c r="U34" s="12"/>
    </row>
    <row r="35" spans="2:21" x14ac:dyDescent="0.3">
      <c r="B35" s="12"/>
      <c r="C35" s="12"/>
      <c r="D35" s="12"/>
      <c r="E35" s="12"/>
      <c r="F35" s="12"/>
      <c r="G35" s="12"/>
      <c r="H35" s="12"/>
      <c r="I35" s="12"/>
      <c r="J35" s="12"/>
      <c r="K35" s="12"/>
      <c r="L35" s="12"/>
      <c r="M35" s="12"/>
      <c r="N35" s="208" t="s">
        <v>254</v>
      </c>
      <c r="O35" s="12"/>
      <c r="P35" s="12"/>
      <c r="Q35" s="12"/>
      <c r="R35" s="12"/>
      <c r="S35" s="12"/>
      <c r="T35" s="12"/>
      <c r="U35" s="12"/>
    </row>
    <row r="36" spans="2:21" x14ac:dyDescent="0.3">
      <c r="B36" s="12"/>
      <c r="C36" s="12"/>
      <c r="D36" s="12"/>
      <c r="E36" s="12"/>
      <c r="F36" s="12"/>
      <c r="G36" s="12"/>
      <c r="H36" s="12"/>
      <c r="I36" s="12"/>
      <c r="J36" s="12"/>
      <c r="K36" s="12"/>
      <c r="L36" s="12"/>
      <c r="M36" s="12"/>
      <c r="N36" s="12"/>
      <c r="O36" s="12"/>
      <c r="P36" s="12"/>
      <c r="Q36" s="12"/>
      <c r="R36" s="12"/>
      <c r="S36" s="12"/>
      <c r="T36" s="12"/>
      <c r="U36" s="12"/>
    </row>
    <row r="37" spans="2:21" x14ac:dyDescent="0.3">
      <c r="B37" s="12"/>
      <c r="C37" s="12"/>
      <c r="D37" s="12"/>
      <c r="E37" s="12"/>
      <c r="F37" s="12"/>
      <c r="G37" s="12"/>
      <c r="H37" s="12"/>
      <c r="I37" s="12"/>
      <c r="J37" s="12"/>
      <c r="K37" s="12"/>
      <c r="L37" s="12"/>
      <c r="M37" s="12"/>
      <c r="N37" s="12"/>
      <c r="O37" s="12"/>
      <c r="P37" s="12"/>
      <c r="Q37" s="12"/>
      <c r="R37" s="12"/>
      <c r="S37" s="12"/>
      <c r="T37" s="12"/>
      <c r="U37" s="12"/>
    </row>
    <row r="38" spans="2:21" x14ac:dyDescent="0.3">
      <c r="B38" s="12"/>
      <c r="C38" s="12"/>
      <c r="D38" s="12"/>
      <c r="E38" s="12"/>
      <c r="F38" s="12"/>
      <c r="G38" s="12"/>
      <c r="H38" s="12"/>
      <c r="I38" s="12"/>
      <c r="J38" s="12"/>
      <c r="K38" s="12"/>
      <c r="L38" s="12"/>
      <c r="M38" s="12"/>
      <c r="N38" s="207" t="s">
        <v>255</v>
      </c>
      <c r="O38" s="12" t="s">
        <v>339</v>
      </c>
      <c r="P38" s="12"/>
      <c r="Q38" s="12"/>
      <c r="R38" s="12"/>
      <c r="S38" s="12"/>
      <c r="T38" s="12"/>
      <c r="U38" s="12"/>
    </row>
    <row r="39" spans="2:21" x14ac:dyDescent="0.3">
      <c r="B39" s="12"/>
      <c r="C39" s="12"/>
      <c r="D39" s="207" t="s">
        <v>256</v>
      </c>
      <c r="E39" s="12" t="s">
        <v>340</v>
      </c>
      <c r="F39" s="12"/>
      <c r="G39" s="12"/>
      <c r="H39" s="12"/>
      <c r="I39" s="12"/>
      <c r="J39" s="12"/>
      <c r="K39" s="12"/>
      <c r="L39" s="12"/>
      <c r="M39" s="12"/>
      <c r="N39" s="12"/>
      <c r="O39" s="12"/>
      <c r="P39" s="12"/>
      <c r="Q39" s="12"/>
      <c r="R39" s="12"/>
      <c r="S39" s="12"/>
      <c r="T39" s="12"/>
      <c r="U39" s="12"/>
    </row>
    <row r="40" spans="2:21" x14ac:dyDescent="0.3">
      <c r="B40" s="12"/>
      <c r="C40" s="12"/>
      <c r="D40" s="12"/>
      <c r="E40" s="12"/>
      <c r="F40" s="12"/>
      <c r="G40" s="12"/>
      <c r="H40" s="12"/>
      <c r="I40" s="12"/>
      <c r="J40" s="12"/>
      <c r="K40" s="12"/>
      <c r="L40" s="12"/>
      <c r="M40" s="12"/>
      <c r="N40" s="12"/>
      <c r="O40" s="12"/>
      <c r="P40" s="12"/>
      <c r="Q40" s="12"/>
      <c r="R40" s="12"/>
      <c r="S40" s="12"/>
      <c r="T40" s="12"/>
      <c r="U40" s="12"/>
    </row>
    <row r="41" spans="2:21" x14ac:dyDescent="0.3">
      <c r="B41" s="12"/>
      <c r="C41" s="12"/>
      <c r="D41" s="12"/>
      <c r="E41" s="12"/>
      <c r="F41" s="12"/>
      <c r="G41" s="12"/>
      <c r="H41" s="12"/>
      <c r="I41" s="12"/>
      <c r="J41" s="12"/>
      <c r="K41" s="12"/>
      <c r="L41" s="12"/>
      <c r="M41" s="12"/>
      <c r="N41" s="12"/>
      <c r="O41" s="12"/>
      <c r="P41" s="12"/>
      <c r="Q41" s="12"/>
      <c r="R41" s="12"/>
      <c r="S41" s="12"/>
      <c r="T41" s="12"/>
      <c r="U41" s="12"/>
    </row>
    <row r="42" spans="2:21" x14ac:dyDescent="0.3">
      <c r="B42" s="12"/>
      <c r="C42" s="12"/>
      <c r="D42" s="12"/>
      <c r="E42" s="12"/>
      <c r="F42" s="12"/>
      <c r="G42" s="12"/>
      <c r="H42" s="12"/>
      <c r="I42" s="12"/>
      <c r="J42" s="12"/>
      <c r="K42" s="12"/>
      <c r="L42" s="12"/>
      <c r="M42" s="12"/>
      <c r="N42" s="12"/>
      <c r="O42" s="12"/>
      <c r="P42" s="12"/>
      <c r="Q42" s="12"/>
      <c r="R42" s="12"/>
      <c r="S42" s="12"/>
      <c r="T42" s="12"/>
      <c r="U42" s="12"/>
    </row>
    <row r="43" spans="2:21" x14ac:dyDescent="0.3">
      <c r="B43" s="12"/>
      <c r="C43" s="12"/>
      <c r="D43" s="12"/>
      <c r="E43" s="12"/>
      <c r="F43" s="12"/>
      <c r="G43" s="12"/>
      <c r="H43" s="12"/>
      <c r="I43" s="12"/>
      <c r="J43" s="12"/>
      <c r="K43" s="12"/>
      <c r="L43" s="12"/>
      <c r="M43" s="12"/>
      <c r="N43" s="12"/>
      <c r="O43" s="12"/>
      <c r="P43" s="12"/>
      <c r="Q43" s="12"/>
      <c r="R43" s="12"/>
      <c r="S43" s="12"/>
      <c r="T43" s="12"/>
      <c r="U43" s="12"/>
    </row>
    <row r="44" spans="2:21" x14ac:dyDescent="0.3">
      <c r="B44" s="12"/>
      <c r="C44" s="12"/>
      <c r="D44" s="12"/>
      <c r="E44" s="12"/>
      <c r="F44" s="12"/>
      <c r="G44" s="12"/>
      <c r="H44" s="12"/>
      <c r="I44" s="12"/>
      <c r="J44" s="12"/>
      <c r="K44" s="12"/>
      <c r="L44" s="12"/>
      <c r="M44" s="12"/>
      <c r="N44" s="12"/>
      <c r="O44" s="12"/>
      <c r="P44" s="12"/>
      <c r="Q44" s="12"/>
      <c r="R44" s="12"/>
      <c r="S44" s="12"/>
      <c r="T44" s="12"/>
      <c r="U44" s="12"/>
    </row>
    <row r="45" spans="2:21" x14ac:dyDescent="0.3">
      <c r="B45" s="12"/>
      <c r="C45" s="12"/>
      <c r="D45" s="12"/>
      <c r="E45" s="12"/>
      <c r="F45" s="12"/>
      <c r="G45" s="12"/>
      <c r="H45" s="12"/>
      <c r="I45" s="12"/>
      <c r="J45" s="12"/>
      <c r="K45" s="12"/>
      <c r="L45" s="12"/>
      <c r="M45" s="12"/>
      <c r="N45" s="12"/>
      <c r="O45" s="12"/>
      <c r="P45" s="12"/>
      <c r="Q45" s="12"/>
      <c r="R45" s="12"/>
      <c r="S45" s="12"/>
      <c r="T45" s="12"/>
      <c r="U45" s="12"/>
    </row>
    <row r="51" spans="4:19" x14ac:dyDescent="0.3">
      <c r="D51" s="533" t="s">
        <v>235</v>
      </c>
      <c r="E51" s="533"/>
      <c r="F51" s="533"/>
      <c r="G51" s="533"/>
      <c r="H51" s="533"/>
      <c r="I51" s="533"/>
      <c r="J51" s="533"/>
      <c r="K51" s="533"/>
      <c r="L51" s="533"/>
      <c r="M51" s="533"/>
      <c r="N51" s="533"/>
      <c r="O51" s="533"/>
      <c r="P51" s="533"/>
      <c r="Q51" s="533"/>
      <c r="R51" s="533"/>
      <c r="S51" s="533"/>
    </row>
  </sheetData>
  <sheetProtection password="DF8E" sheet="1" objects="1" scenarios="1"/>
  <protectedRanges>
    <protectedRange sqref="W2:X7" name="Range1"/>
  </protectedRanges>
  <mergeCells count="11">
    <mergeCell ref="D51:S51"/>
    <mergeCell ref="D6:S6"/>
    <mergeCell ref="B12:U12"/>
    <mergeCell ref="F13:Q13"/>
    <mergeCell ref="M17:S17"/>
    <mergeCell ref="M20:S20"/>
    <mergeCell ref="I2:P3"/>
    <mergeCell ref="M21:S21"/>
    <mergeCell ref="M26:S26"/>
    <mergeCell ref="M27:S27"/>
    <mergeCell ref="I4:O4"/>
  </mergeCells>
  <conditionalFormatting sqref="B5:U5">
    <cfRule type="containsText" dxfId="200" priority="5" operator="containsText" text="Macro">
      <formula>NOT(ISERROR(SEARCH("Macro",B5)))</formula>
    </cfRule>
  </conditionalFormatting>
  <conditionalFormatting sqref="F13:Q13">
    <cfRule type="containsText" dxfId="199" priority="3" operator="containsText" text="tutorial">
      <formula>NOT(ISERROR(SEARCH("tutorial",F13)))</formula>
    </cfRule>
  </conditionalFormatting>
  <conditionalFormatting sqref="B12:U12">
    <cfRule type="containsText" dxfId="198" priority="1" operator="containsText" text="macro">
      <formula>NOT(ISERROR(SEARCH("macro",B12)))</formula>
    </cfRule>
    <cfRule type="containsText" dxfId="197" priority="2" operator="containsText" text="error">
      <formula>NOT(ISERROR(SEARCH("error",B12)))</formula>
    </cfRule>
  </conditionalFormatting>
  <hyperlinks>
    <hyperlink ref="M27" r:id="rId1" xr:uid="{00000000-0004-0000-0000-000000000000}"/>
    <hyperlink ref="M21" r:id="rId2" xr:uid="{00000000-0004-0000-0000-000001000000}"/>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B050"/>
  </sheetPr>
  <dimension ref="A1:M305"/>
  <sheetViews>
    <sheetView workbookViewId="0">
      <selection activeCell="O4" sqref="O4"/>
    </sheetView>
  </sheetViews>
  <sheetFormatPr defaultRowHeight="15" x14ac:dyDescent="0.25"/>
  <cols>
    <col min="1" max="1" width="24.5703125" customWidth="1"/>
    <col min="2" max="2" width="9.7109375" bestFit="1" customWidth="1"/>
    <col min="3" max="3" width="18.140625" bestFit="1" customWidth="1"/>
    <col min="4" max="4" width="11.140625" bestFit="1" customWidth="1"/>
    <col min="5" max="5" width="9.7109375" bestFit="1" customWidth="1"/>
    <col min="6" max="6" width="11.5703125" bestFit="1" customWidth="1"/>
    <col min="7" max="7" width="10.28515625" bestFit="1" customWidth="1"/>
    <col min="8" max="8" width="8.42578125" customWidth="1"/>
  </cols>
  <sheetData>
    <row r="1" spans="1:13" x14ac:dyDescent="0.25">
      <c r="A1" t="s">
        <v>139</v>
      </c>
      <c r="B1" t="s">
        <v>0</v>
      </c>
      <c r="C1" t="s">
        <v>140</v>
      </c>
      <c r="D1" t="s">
        <v>141</v>
      </c>
      <c r="E1" t="s">
        <v>142</v>
      </c>
      <c r="F1" t="s">
        <v>143</v>
      </c>
      <c r="G1" t="s">
        <v>144</v>
      </c>
      <c r="H1" t="s">
        <v>145</v>
      </c>
    </row>
    <row r="2" spans="1:13" x14ac:dyDescent="0.25">
      <c r="A2" s="295" t="s">
        <v>763</v>
      </c>
      <c r="B2" s="296" t="s">
        <v>381</v>
      </c>
      <c r="C2" s="296" t="s">
        <v>411</v>
      </c>
      <c r="D2" s="296" t="s">
        <v>138</v>
      </c>
      <c r="E2">
        <v>11.5</v>
      </c>
      <c r="F2">
        <v>-1.71</v>
      </c>
      <c r="G2">
        <v>16900</v>
      </c>
      <c r="J2">
        <v>1E-4</v>
      </c>
      <c r="K2">
        <v>1</v>
      </c>
      <c r="L2">
        <f>IFERROR(Table1[[#This Row],[% change]]+J2,"")</f>
        <v>-1.7099</v>
      </c>
      <c r="M2">
        <f>IFERROR(Table1[[#This Row],[Volume]]*Table1[[#This Row],[Closing]]+J2,"")</f>
        <v>194350.0001</v>
      </c>
    </row>
    <row r="3" spans="1:13" x14ac:dyDescent="0.25">
      <c r="A3" s="295" t="s">
        <v>763</v>
      </c>
      <c r="B3" s="296" t="s">
        <v>713</v>
      </c>
      <c r="C3" s="296" t="s">
        <v>726</v>
      </c>
      <c r="D3" s="296" t="s">
        <v>138</v>
      </c>
      <c r="E3">
        <v>99</v>
      </c>
      <c r="F3">
        <v>3.07</v>
      </c>
      <c r="G3">
        <v>1300</v>
      </c>
      <c r="J3">
        <v>2.0000000000000001E-4</v>
      </c>
      <c r="K3">
        <v>2</v>
      </c>
      <c r="L3">
        <f>IFERROR(Table1[[#This Row],[% change]]+J3,"")</f>
        <v>3.0701999999999998</v>
      </c>
      <c r="M3">
        <f>IFERROR(Table1[[#This Row],[Volume]]*Table1[[#This Row],[Closing]]+J3,"")</f>
        <v>128700.00019999999</v>
      </c>
    </row>
    <row r="4" spans="1:13" x14ac:dyDescent="0.25">
      <c r="A4" s="295" t="s">
        <v>763</v>
      </c>
      <c r="B4" s="296" t="s">
        <v>495</v>
      </c>
      <c r="C4" s="296" t="s">
        <v>544</v>
      </c>
      <c r="D4" s="296" t="s">
        <v>138</v>
      </c>
      <c r="E4">
        <v>17.399999999999999</v>
      </c>
      <c r="F4">
        <v>-0.46</v>
      </c>
      <c r="G4">
        <v>5700</v>
      </c>
      <c r="J4">
        <v>2.9999999999999997E-4</v>
      </c>
      <c r="K4">
        <v>3</v>
      </c>
      <c r="L4">
        <f>IFERROR(Table1[[#This Row],[% change]]+J4,"")</f>
        <v>-0.4597</v>
      </c>
      <c r="M4">
        <f>IFERROR(Table1[[#This Row],[Volume]]*Table1[[#This Row],[Closing]]+J4,"")</f>
        <v>99180.000299999985</v>
      </c>
    </row>
    <row r="5" spans="1:13" x14ac:dyDescent="0.25">
      <c r="A5" s="295" t="s">
        <v>763</v>
      </c>
      <c r="B5" s="296" t="s">
        <v>1</v>
      </c>
      <c r="C5" s="296" t="s">
        <v>71</v>
      </c>
      <c r="D5" s="296" t="s">
        <v>138</v>
      </c>
      <c r="E5">
        <v>0.46500000000000002</v>
      </c>
      <c r="F5">
        <v>1.0900000000000001</v>
      </c>
      <c r="G5">
        <v>28010000</v>
      </c>
      <c r="J5">
        <v>4.0000000000000002E-4</v>
      </c>
      <c r="K5">
        <v>4</v>
      </c>
      <c r="L5">
        <f>IFERROR(Table1[[#This Row],[% change]]+J5,"")</f>
        <v>1.0904</v>
      </c>
      <c r="M5">
        <f>IFERROR(Table1[[#This Row],[Volume]]*Table1[[#This Row],[Closing]]+J5,"")</f>
        <v>13024650.000399999</v>
      </c>
    </row>
    <row r="6" spans="1:13" x14ac:dyDescent="0.25">
      <c r="A6" s="295" t="s">
        <v>763</v>
      </c>
      <c r="B6" s="296" t="s">
        <v>2</v>
      </c>
      <c r="C6" s="296" t="s">
        <v>72</v>
      </c>
      <c r="D6" s="296" t="s">
        <v>138</v>
      </c>
      <c r="E6">
        <v>26</v>
      </c>
      <c r="F6">
        <v>-1.1399999999999999</v>
      </c>
      <c r="G6">
        <v>15500</v>
      </c>
      <c r="J6">
        <v>5.0000000000000001E-4</v>
      </c>
      <c r="K6">
        <v>5</v>
      </c>
      <c r="L6">
        <f>IFERROR(Table1[[#This Row],[% change]]+J6,"")</f>
        <v>-1.1395</v>
      </c>
      <c r="M6">
        <f>IFERROR(Table1[[#This Row],[Volume]]*Table1[[#This Row],[Closing]]+J6,"")</f>
        <v>403000.00050000002</v>
      </c>
    </row>
    <row r="7" spans="1:13" x14ac:dyDescent="0.25">
      <c r="A7" s="295" t="s">
        <v>763</v>
      </c>
      <c r="B7" s="296" t="s">
        <v>496</v>
      </c>
      <c r="C7" s="296" t="s">
        <v>545</v>
      </c>
      <c r="D7" s="296" t="s">
        <v>138</v>
      </c>
      <c r="E7">
        <v>21.5</v>
      </c>
      <c r="F7">
        <v>0.94</v>
      </c>
      <c r="G7">
        <v>7800</v>
      </c>
      <c r="J7">
        <v>5.9999999999999995E-4</v>
      </c>
      <c r="K7">
        <v>6</v>
      </c>
      <c r="L7">
        <f>IFERROR(Table1[[#This Row],[% change]]+J7,"")</f>
        <v>0.94059999999999999</v>
      </c>
      <c r="M7">
        <f>IFERROR(Table1[[#This Row],[Volume]]*Table1[[#This Row],[Closing]]+J7,"")</f>
        <v>167700.0006</v>
      </c>
    </row>
    <row r="8" spans="1:13" x14ac:dyDescent="0.25">
      <c r="A8" s="295" t="s">
        <v>763</v>
      </c>
      <c r="B8" s="296" t="s">
        <v>497</v>
      </c>
      <c r="C8" s="296" t="s">
        <v>546</v>
      </c>
      <c r="D8" s="296" t="s">
        <v>138</v>
      </c>
      <c r="E8">
        <v>21.55</v>
      </c>
      <c r="F8">
        <v>0.23</v>
      </c>
      <c r="G8">
        <v>1300</v>
      </c>
      <c r="J8">
        <v>6.9999999999999999E-4</v>
      </c>
      <c r="K8">
        <v>7</v>
      </c>
      <c r="L8">
        <f>IFERROR(Table1[[#This Row],[% change]]+J8,"")</f>
        <v>0.23070000000000002</v>
      </c>
      <c r="M8">
        <f>IFERROR(Table1[[#This Row],[Volume]]*Table1[[#This Row],[Closing]]+J8,"")</f>
        <v>28015.000700000001</v>
      </c>
    </row>
    <row r="9" spans="1:13" x14ac:dyDescent="0.25">
      <c r="A9" s="295" t="s">
        <v>763</v>
      </c>
      <c r="B9" s="296" t="s">
        <v>3</v>
      </c>
      <c r="C9" s="296" t="s">
        <v>73</v>
      </c>
      <c r="D9" s="296" t="s">
        <v>138</v>
      </c>
      <c r="E9">
        <v>912</v>
      </c>
      <c r="F9">
        <v>-1.78</v>
      </c>
      <c r="G9">
        <v>49750</v>
      </c>
      <c r="J9">
        <v>8.0000000000000004E-4</v>
      </c>
      <c r="K9">
        <v>8</v>
      </c>
      <c r="L9">
        <f>IFERROR(Table1[[#This Row],[% change]]+J9,"")</f>
        <v>-1.7792000000000001</v>
      </c>
      <c r="M9">
        <f>IFERROR(Table1[[#This Row],[Volume]]*Table1[[#This Row],[Closing]]+J9,"")</f>
        <v>45372000.000799999</v>
      </c>
    </row>
    <row r="10" spans="1:13" x14ac:dyDescent="0.25">
      <c r="A10" s="295" t="s">
        <v>763</v>
      </c>
      <c r="B10" s="296" t="s">
        <v>604</v>
      </c>
      <c r="C10" s="296" t="s">
        <v>614</v>
      </c>
      <c r="D10" s="296" t="s">
        <v>138</v>
      </c>
      <c r="E10">
        <v>1.46</v>
      </c>
      <c r="F10">
        <v>5.8</v>
      </c>
      <c r="G10">
        <v>8000</v>
      </c>
      <c r="J10">
        <v>8.9999999999999998E-4</v>
      </c>
      <c r="K10">
        <v>9</v>
      </c>
      <c r="L10">
        <f>IFERROR(Table1[[#This Row],[% change]]+J10,"")</f>
        <v>5.8008999999999995</v>
      </c>
      <c r="M10">
        <f>IFERROR(Table1[[#This Row],[Volume]]*Table1[[#This Row],[Closing]]+J10,"")</f>
        <v>11680.000899999999</v>
      </c>
    </row>
    <row r="11" spans="1:13" x14ac:dyDescent="0.25">
      <c r="A11" s="295" t="s">
        <v>763</v>
      </c>
      <c r="B11" s="296" t="s">
        <v>714</v>
      </c>
      <c r="C11" s="296" t="s">
        <v>727</v>
      </c>
      <c r="D11" s="296" t="s">
        <v>138</v>
      </c>
      <c r="E11">
        <v>470</v>
      </c>
      <c r="F11">
        <v>2.17</v>
      </c>
      <c r="G11">
        <v>50</v>
      </c>
      <c r="J11">
        <v>1E-3</v>
      </c>
      <c r="K11">
        <v>10</v>
      </c>
      <c r="L11">
        <f>IFERROR(Table1[[#This Row],[% change]]+J11,"")</f>
        <v>2.1709999999999998</v>
      </c>
      <c r="M11">
        <f>IFERROR(Table1[[#This Row],[Volume]]*Table1[[#This Row],[Closing]]+J11,"")</f>
        <v>23500.001</v>
      </c>
    </row>
    <row r="12" spans="1:13" x14ac:dyDescent="0.25">
      <c r="A12" s="295" t="s">
        <v>763</v>
      </c>
      <c r="B12" s="296" t="s">
        <v>667</v>
      </c>
      <c r="C12" s="296" t="s">
        <v>668</v>
      </c>
      <c r="D12" s="296" t="s">
        <v>138</v>
      </c>
      <c r="E12">
        <v>490</v>
      </c>
      <c r="F12">
        <v>0.2</v>
      </c>
      <c r="G12">
        <v>50</v>
      </c>
      <c r="J12">
        <v>1.1000000000000001E-3</v>
      </c>
      <c r="K12">
        <v>11</v>
      </c>
      <c r="L12">
        <f>IFERROR(Table1[[#This Row],[% change]]+J12,"")</f>
        <v>0.2011</v>
      </c>
      <c r="M12">
        <f>IFERROR(Table1[[#This Row],[Volume]]*Table1[[#This Row],[Closing]]+J12,"")</f>
        <v>24500.001100000001</v>
      </c>
    </row>
    <row r="13" spans="1:13" x14ac:dyDescent="0.25">
      <c r="A13" s="295" t="s">
        <v>763</v>
      </c>
      <c r="B13" s="296" t="s">
        <v>382</v>
      </c>
      <c r="C13" s="296" t="s">
        <v>412</v>
      </c>
      <c r="D13" s="296" t="s">
        <v>138</v>
      </c>
      <c r="E13">
        <v>1.29</v>
      </c>
      <c r="F13">
        <v>-0.77</v>
      </c>
      <c r="G13">
        <v>58000</v>
      </c>
      <c r="J13">
        <v>1.1999999999999999E-3</v>
      </c>
      <c r="K13">
        <v>12</v>
      </c>
      <c r="L13">
        <f>IFERROR(Table1[[#This Row],[% change]]+J13,"")</f>
        <v>-0.76880000000000004</v>
      </c>
      <c r="M13">
        <f>IFERROR(Table1[[#This Row],[Volume]]*Table1[[#This Row],[Closing]]+J13,"")</f>
        <v>74820.001199999999</v>
      </c>
    </row>
    <row r="14" spans="1:13" x14ac:dyDescent="0.25">
      <c r="A14" s="295" t="s">
        <v>763</v>
      </c>
      <c r="B14" s="296" t="s">
        <v>4</v>
      </c>
      <c r="C14" s="296" t="s">
        <v>74</v>
      </c>
      <c r="D14" s="296" t="s">
        <v>138</v>
      </c>
      <c r="E14">
        <v>48</v>
      </c>
      <c r="F14">
        <v>0.63</v>
      </c>
      <c r="G14">
        <v>276000</v>
      </c>
      <c r="J14">
        <v>1.2999999999999999E-3</v>
      </c>
      <c r="K14">
        <v>13</v>
      </c>
      <c r="L14">
        <f>IFERROR(Table1[[#This Row],[% change]]+J14,"")</f>
        <v>0.63129999999999997</v>
      </c>
      <c r="M14">
        <f>IFERROR(Table1[[#This Row],[Volume]]*Table1[[#This Row],[Closing]]+J14,"")</f>
        <v>13248000.0013</v>
      </c>
    </row>
    <row r="15" spans="1:13" x14ac:dyDescent="0.25">
      <c r="A15" s="295" t="s">
        <v>763</v>
      </c>
      <c r="B15" s="296" t="s">
        <v>5</v>
      </c>
      <c r="C15" s="296" t="s">
        <v>75</v>
      </c>
      <c r="D15" s="296" t="s">
        <v>138</v>
      </c>
      <c r="E15">
        <v>11.92</v>
      </c>
      <c r="F15">
        <v>-1.49</v>
      </c>
      <c r="G15">
        <v>2120500</v>
      </c>
      <c r="J15">
        <v>1.4E-3</v>
      </c>
      <c r="K15">
        <v>14</v>
      </c>
      <c r="L15">
        <f>IFERROR(Table1[[#This Row],[% change]]+J15,"")</f>
        <v>-1.4885999999999999</v>
      </c>
      <c r="M15">
        <f>IFERROR(Table1[[#This Row],[Volume]]*Table1[[#This Row],[Closing]]+J15,"")</f>
        <v>25276360.001400001</v>
      </c>
    </row>
    <row r="16" spans="1:13" x14ac:dyDescent="0.25">
      <c r="A16" s="295" t="s">
        <v>763</v>
      </c>
      <c r="B16" s="296" t="s">
        <v>498</v>
      </c>
      <c r="C16" s="296" t="s">
        <v>547</v>
      </c>
      <c r="D16" s="296" t="s">
        <v>138</v>
      </c>
      <c r="E16">
        <v>0.65</v>
      </c>
      <c r="F16">
        <v>0</v>
      </c>
      <c r="G16">
        <v>110000</v>
      </c>
      <c r="J16">
        <v>1.5E-3</v>
      </c>
      <c r="K16">
        <v>15</v>
      </c>
      <c r="L16">
        <f>IFERROR(Table1[[#This Row],[% change]]+J16,"")</f>
        <v>1.5E-3</v>
      </c>
      <c r="M16">
        <f>IFERROR(Table1[[#This Row],[Volume]]*Table1[[#This Row],[Closing]]+J16,"")</f>
        <v>71500.001499999998</v>
      </c>
    </row>
    <row r="17" spans="1:13" x14ac:dyDescent="0.25">
      <c r="A17" s="295" t="s">
        <v>763</v>
      </c>
      <c r="B17" s="296" t="s">
        <v>715</v>
      </c>
      <c r="C17" s="296" t="s">
        <v>728</v>
      </c>
      <c r="D17" s="296" t="s">
        <v>138</v>
      </c>
      <c r="E17">
        <v>100.3</v>
      </c>
      <c r="F17">
        <v>0</v>
      </c>
      <c r="G17">
        <v>10000</v>
      </c>
      <c r="J17">
        <v>1.6000000000000001E-3</v>
      </c>
      <c r="K17">
        <v>16</v>
      </c>
      <c r="L17">
        <f>IFERROR(Table1[[#This Row],[% change]]+J17,"")</f>
        <v>1.6000000000000001E-3</v>
      </c>
      <c r="M17">
        <f>IFERROR(Table1[[#This Row],[Volume]]*Table1[[#This Row],[Closing]]+J17,"")</f>
        <v>1003000.0016</v>
      </c>
    </row>
    <row r="18" spans="1:13" x14ac:dyDescent="0.25">
      <c r="A18" s="295" t="s">
        <v>763</v>
      </c>
      <c r="B18" s="296" t="s">
        <v>6</v>
      </c>
      <c r="C18" s="296" t="s">
        <v>76</v>
      </c>
      <c r="D18" s="296" t="s">
        <v>138</v>
      </c>
      <c r="E18">
        <v>40.049999999999997</v>
      </c>
      <c r="F18">
        <v>-2.67</v>
      </c>
      <c r="G18">
        <v>4012100</v>
      </c>
      <c r="J18">
        <v>1.6999999999999999E-3</v>
      </c>
      <c r="K18">
        <v>17</v>
      </c>
      <c r="L18">
        <f>IFERROR(Table1[[#This Row],[% change]]+J18,"")</f>
        <v>-2.6682999999999999</v>
      </c>
      <c r="M18">
        <f>IFERROR(Table1[[#This Row],[Volume]]*Table1[[#This Row],[Closing]]+J18,"")</f>
        <v>160684605.00170001</v>
      </c>
    </row>
    <row r="19" spans="1:13" x14ac:dyDescent="0.25">
      <c r="A19" s="295" t="s">
        <v>763</v>
      </c>
      <c r="B19" s="296" t="s">
        <v>7</v>
      </c>
      <c r="C19" s="296" t="s">
        <v>77</v>
      </c>
      <c r="D19" s="296" t="s">
        <v>138</v>
      </c>
      <c r="E19">
        <v>18</v>
      </c>
      <c r="F19">
        <v>-0.22</v>
      </c>
      <c r="G19">
        <v>351000</v>
      </c>
      <c r="J19">
        <v>1.8E-3</v>
      </c>
      <c r="K19">
        <v>18</v>
      </c>
      <c r="L19">
        <f>IFERROR(Table1[[#This Row],[% change]]+J19,"")</f>
        <v>-0.21820000000000001</v>
      </c>
      <c r="M19">
        <f>IFERROR(Table1[[#This Row],[Volume]]*Table1[[#This Row],[Closing]]+J19,"")</f>
        <v>6318000.0017999997</v>
      </c>
    </row>
    <row r="20" spans="1:13" x14ac:dyDescent="0.25">
      <c r="A20" s="295" t="s">
        <v>763</v>
      </c>
      <c r="B20" s="296" t="s">
        <v>630</v>
      </c>
      <c r="C20" s="296" t="s">
        <v>642</v>
      </c>
      <c r="D20" s="296" t="s">
        <v>138</v>
      </c>
      <c r="E20">
        <v>6.2</v>
      </c>
      <c r="F20">
        <v>0.65</v>
      </c>
      <c r="G20">
        <v>186800</v>
      </c>
      <c r="J20">
        <v>1.9E-3</v>
      </c>
      <c r="K20">
        <v>19</v>
      </c>
      <c r="L20">
        <f>IFERROR(Table1[[#This Row],[% change]]+J20,"")</f>
        <v>0.65190000000000003</v>
      </c>
      <c r="M20">
        <f>IFERROR(Table1[[#This Row],[Volume]]*Table1[[#This Row],[Closing]]+J20,"")</f>
        <v>1158160.0019</v>
      </c>
    </row>
    <row r="21" spans="1:13" x14ac:dyDescent="0.25">
      <c r="A21" s="295" t="s">
        <v>763</v>
      </c>
      <c r="B21" s="296" t="s">
        <v>8</v>
      </c>
      <c r="C21" s="296" t="s">
        <v>78</v>
      </c>
      <c r="D21" s="296" t="s">
        <v>138</v>
      </c>
      <c r="E21">
        <v>34.450000000000003</v>
      </c>
      <c r="F21">
        <v>-0.72</v>
      </c>
      <c r="G21">
        <v>4368900</v>
      </c>
      <c r="J21">
        <v>2E-3</v>
      </c>
      <c r="K21">
        <v>20</v>
      </c>
      <c r="L21">
        <f>IFERROR(Table1[[#This Row],[% change]]+J21,"")</f>
        <v>-0.71799999999999997</v>
      </c>
      <c r="M21">
        <f>IFERROR(Table1[[#This Row],[Volume]]*Table1[[#This Row],[Closing]]+J21,"")</f>
        <v>150508605.002</v>
      </c>
    </row>
    <row r="22" spans="1:13" x14ac:dyDescent="0.25">
      <c r="A22" s="295" t="s">
        <v>763</v>
      </c>
      <c r="B22" s="296" t="s">
        <v>499</v>
      </c>
      <c r="C22" s="296" t="s">
        <v>548</v>
      </c>
      <c r="D22" s="296" t="s">
        <v>138</v>
      </c>
      <c r="E22">
        <v>0.44</v>
      </c>
      <c r="F22">
        <v>-2.2200000000000002</v>
      </c>
      <c r="G22">
        <v>70000</v>
      </c>
      <c r="J22">
        <v>2.0999999999999999E-3</v>
      </c>
      <c r="K22">
        <v>21</v>
      </c>
      <c r="L22">
        <f>IFERROR(Table1[[#This Row],[% change]]+J22,"")</f>
        <v>-2.2179000000000002</v>
      </c>
      <c r="M22">
        <f>IFERROR(Table1[[#This Row],[Volume]]*Table1[[#This Row],[Closing]]+J22,"")</f>
        <v>30800.002100000002</v>
      </c>
    </row>
    <row r="23" spans="1:13" x14ac:dyDescent="0.25">
      <c r="A23" s="295" t="s">
        <v>763</v>
      </c>
      <c r="B23" s="296" t="s">
        <v>500</v>
      </c>
      <c r="C23" s="296" t="s">
        <v>549</v>
      </c>
      <c r="D23" s="296" t="s">
        <v>138</v>
      </c>
      <c r="E23">
        <v>4.2000000000000003E-2</v>
      </c>
      <c r="F23">
        <v>2.44</v>
      </c>
      <c r="G23">
        <v>1300000</v>
      </c>
      <c r="J23">
        <v>2.2000000000000001E-3</v>
      </c>
      <c r="K23">
        <v>22</v>
      </c>
      <c r="L23">
        <f>IFERROR(Table1[[#This Row],[% change]]+J23,"")</f>
        <v>2.4422000000000001</v>
      </c>
      <c r="M23">
        <f>IFERROR(Table1[[#This Row],[Volume]]*Table1[[#This Row],[Closing]]+J23,"")</f>
        <v>54600.002200000003</v>
      </c>
    </row>
    <row r="24" spans="1:13" x14ac:dyDescent="0.25">
      <c r="A24" s="295" t="s">
        <v>763</v>
      </c>
      <c r="B24" s="296" t="s">
        <v>742</v>
      </c>
      <c r="C24" s="296" t="s">
        <v>752</v>
      </c>
      <c r="D24" s="296" t="s">
        <v>138</v>
      </c>
      <c r="E24">
        <v>0.74</v>
      </c>
      <c r="F24">
        <v>-15.91</v>
      </c>
      <c r="G24">
        <v>127000</v>
      </c>
      <c r="J24">
        <v>2.3E-3</v>
      </c>
      <c r="K24">
        <v>23</v>
      </c>
      <c r="L24">
        <f>IFERROR(Table1[[#This Row],[% change]]+J24,"")</f>
        <v>-15.9077</v>
      </c>
      <c r="M24">
        <f>IFERROR(Table1[[#This Row],[Volume]]*Table1[[#This Row],[Closing]]+J24,"")</f>
        <v>93980.002299999993</v>
      </c>
    </row>
    <row r="25" spans="1:13" x14ac:dyDescent="0.25">
      <c r="A25" s="295" t="s">
        <v>763</v>
      </c>
      <c r="B25" s="296" t="s">
        <v>9</v>
      </c>
      <c r="C25" s="296" t="s">
        <v>79</v>
      </c>
      <c r="D25" s="296" t="s">
        <v>138</v>
      </c>
      <c r="E25">
        <v>1.65</v>
      </c>
      <c r="F25">
        <v>3.12</v>
      </c>
      <c r="G25">
        <v>7121000</v>
      </c>
      <c r="J25">
        <v>2.3999999999999998E-3</v>
      </c>
      <c r="K25">
        <v>24</v>
      </c>
      <c r="L25">
        <f>IFERROR(Table1[[#This Row],[% change]]+J25,"")</f>
        <v>3.1224000000000003</v>
      </c>
      <c r="M25">
        <f>IFERROR(Table1[[#This Row],[Volume]]*Table1[[#This Row],[Closing]]+J25,"")</f>
        <v>11749650.0024</v>
      </c>
    </row>
    <row r="26" spans="1:13" x14ac:dyDescent="0.25">
      <c r="A26" s="295" t="s">
        <v>763</v>
      </c>
      <c r="B26" s="296" t="s">
        <v>383</v>
      </c>
      <c r="C26" s="296" t="s">
        <v>413</v>
      </c>
      <c r="D26" s="296" t="s">
        <v>138</v>
      </c>
      <c r="E26">
        <v>2.3E-3</v>
      </c>
      <c r="F26">
        <v>0</v>
      </c>
      <c r="G26">
        <v>44000000</v>
      </c>
      <c r="J26">
        <v>2.5000000000000001E-3</v>
      </c>
      <c r="K26">
        <v>25</v>
      </c>
      <c r="L26">
        <f>IFERROR(Table1[[#This Row],[% change]]+J26,"")</f>
        <v>2.5000000000000001E-3</v>
      </c>
      <c r="M26">
        <f>IFERROR(Table1[[#This Row],[Volume]]*Table1[[#This Row],[Closing]]+J26,"")</f>
        <v>101200.0025</v>
      </c>
    </row>
    <row r="27" spans="1:13" x14ac:dyDescent="0.25">
      <c r="A27" s="295" t="s">
        <v>763</v>
      </c>
      <c r="B27" s="296" t="s">
        <v>683</v>
      </c>
      <c r="C27" s="296" t="s">
        <v>692</v>
      </c>
      <c r="D27" s="296" t="s">
        <v>138</v>
      </c>
      <c r="E27">
        <v>2.9</v>
      </c>
      <c r="F27">
        <v>-0.34</v>
      </c>
      <c r="G27">
        <v>22000</v>
      </c>
      <c r="J27">
        <v>2.5999999999999999E-3</v>
      </c>
      <c r="K27">
        <v>26</v>
      </c>
      <c r="L27">
        <f>IFERROR(Table1[[#This Row],[% change]]+J27,"")</f>
        <v>-0.33740000000000003</v>
      </c>
      <c r="M27">
        <f>IFERROR(Table1[[#This Row],[Volume]]*Table1[[#This Row],[Closing]]+J27,"")</f>
        <v>63800.0026</v>
      </c>
    </row>
    <row r="28" spans="1:13" x14ac:dyDescent="0.25">
      <c r="A28" s="295" t="s">
        <v>763</v>
      </c>
      <c r="B28" s="296" t="s">
        <v>10</v>
      </c>
      <c r="C28" s="296" t="s">
        <v>80</v>
      </c>
      <c r="D28" s="296" t="s">
        <v>138</v>
      </c>
      <c r="E28">
        <v>1.27</v>
      </c>
      <c r="F28">
        <v>3.25</v>
      </c>
      <c r="G28">
        <v>17587000</v>
      </c>
      <c r="J28">
        <v>2.7000000000000001E-3</v>
      </c>
      <c r="K28">
        <v>27</v>
      </c>
      <c r="L28">
        <f>IFERROR(Table1[[#This Row],[% change]]+J28,"")</f>
        <v>3.2526999999999999</v>
      </c>
      <c r="M28">
        <f>IFERROR(Table1[[#This Row],[Volume]]*Table1[[#This Row],[Closing]]+J28,"")</f>
        <v>22335490.002700001</v>
      </c>
    </row>
    <row r="29" spans="1:13" x14ac:dyDescent="0.25">
      <c r="A29" s="295" t="s">
        <v>763</v>
      </c>
      <c r="B29" s="296" t="s">
        <v>384</v>
      </c>
      <c r="C29" s="296" t="s">
        <v>414</v>
      </c>
      <c r="D29" s="296" t="s">
        <v>138</v>
      </c>
      <c r="E29">
        <v>1.26</v>
      </c>
      <c r="F29">
        <v>2.44</v>
      </c>
      <c r="G29">
        <v>4694000</v>
      </c>
      <c r="J29">
        <v>2.8E-3</v>
      </c>
      <c r="K29">
        <v>28</v>
      </c>
      <c r="L29">
        <f>IFERROR(Table1[[#This Row],[% change]]+J29,"")</f>
        <v>2.4428000000000001</v>
      </c>
      <c r="M29">
        <f>IFERROR(Table1[[#This Row],[Volume]]*Table1[[#This Row],[Closing]]+J29,"")</f>
        <v>5914440.0027999999</v>
      </c>
    </row>
    <row r="30" spans="1:13" x14ac:dyDescent="0.25">
      <c r="A30" s="295" t="s">
        <v>763</v>
      </c>
      <c r="B30" s="296" t="s">
        <v>385</v>
      </c>
      <c r="C30" s="296" t="s">
        <v>415</v>
      </c>
      <c r="D30" s="296" t="s">
        <v>138</v>
      </c>
      <c r="E30">
        <v>1.76</v>
      </c>
      <c r="F30">
        <v>2.33</v>
      </c>
      <c r="G30">
        <v>2343000</v>
      </c>
      <c r="J30">
        <v>2.8999999999999998E-3</v>
      </c>
      <c r="K30">
        <v>29</v>
      </c>
      <c r="L30">
        <f>IFERROR(Table1[[#This Row],[% change]]+J30,"")</f>
        <v>2.3329</v>
      </c>
      <c r="M30">
        <f>IFERROR(Table1[[#This Row],[Volume]]*Table1[[#This Row],[Closing]]+J30,"")</f>
        <v>4123680.0029000002</v>
      </c>
    </row>
    <row r="31" spans="1:13" x14ac:dyDescent="0.25">
      <c r="A31" s="295" t="s">
        <v>763</v>
      </c>
      <c r="B31" s="296" t="s">
        <v>11</v>
      </c>
      <c r="C31" s="296" t="s">
        <v>81</v>
      </c>
      <c r="D31" s="296" t="s">
        <v>138</v>
      </c>
      <c r="E31">
        <v>122.5</v>
      </c>
      <c r="F31">
        <v>-0.33</v>
      </c>
      <c r="G31">
        <v>1043410</v>
      </c>
      <c r="J31">
        <v>3.0000000000000001E-3</v>
      </c>
      <c r="K31">
        <v>30</v>
      </c>
      <c r="L31">
        <f>IFERROR(Table1[[#This Row],[% change]]+J31,"")</f>
        <v>-0.32700000000000001</v>
      </c>
      <c r="M31">
        <f>IFERROR(Table1[[#This Row],[Volume]]*Table1[[#This Row],[Closing]]+J31,"")</f>
        <v>127817725.00300001</v>
      </c>
    </row>
    <row r="32" spans="1:13" x14ac:dyDescent="0.25">
      <c r="A32" s="295" t="s">
        <v>763</v>
      </c>
      <c r="B32" s="296" t="s">
        <v>386</v>
      </c>
      <c r="C32" s="296" t="s">
        <v>416</v>
      </c>
      <c r="D32" s="296" t="s">
        <v>138</v>
      </c>
      <c r="E32">
        <v>2.44</v>
      </c>
      <c r="F32">
        <v>0.83</v>
      </c>
      <c r="G32">
        <v>445000</v>
      </c>
      <c r="J32">
        <v>3.0999999999999999E-3</v>
      </c>
      <c r="K32">
        <v>31</v>
      </c>
      <c r="L32">
        <f>IFERROR(Table1[[#This Row],[% change]]+J32,"")</f>
        <v>0.83309999999999995</v>
      </c>
      <c r="M32">
        <f>IFERROR(Table1[[#This Row],[Volume]]*Table1[[#This Row],[Closing]]+J32,"")</f>
        <v>1085800.0031000001</v>
      </c>
    </row>
    <row r="33" spans="1:13" x14ac:dyDescent="0.25">
      <c r="A33" s="295" t="s">
        <v>763</v>
      </c>
      <c r="B33" s="296" t="s">
        <v>501</v>
      </c>
      <c r="C33" s="296" t="s">
        <v>550</v>
      </c>
      <c r="D33" s="296" t="s">
        <v>138</v>
      </c>
      <c r="E33">
        <v>2.2599999999999998</v>
      </c>
      <c r="F33">
        <v>0</v>
      </c>
      <c r="G33">
        <v>2000</v>
      </c>
      <c r="J33">
        <v>3.2000000000000002E-3</v>
      </c>
      <c r="K33">
        <v>32</v>
      </c>
      <c r="L33">
        <f>IFERROR(Table1[[#This Row],[% change]]+J33,"")</f>
        <v>3.2000000000000002E-3</v>
      </c>
      <c r="M33">
        <f>IFERROR(Table1[[#This Row],[Volume]]*Table1[[#This Row],[Closing]]+J33,"")</f>
        <v>4520.0032000000001</v>
      </c>
    </row>
    <row r="34" spans="1:13" x14ac:dyDescent="0.25">
      <c r="A34" s="295" t="s">
        <v>763</v>
      </c>
      <c r="B34" s="296" t="s">
        <v>12</v>
      </c>
      <c r="C34" s="296" t="s">
        <v>82</v>
      </c>
      <c r="D34" s="296" t="s">
        <v>138</v>
      </c>
      <c r="E34">
        <v>8.49</v>
      </c>
      <c r="F34">
        <v>-3.52</v>
      </c>
      <c r="G34">
        <v>7148500</v>
      </c>
      <c r="J34">
        <v>3.3E-3</v>
      </c>
      <c r="K34">
        <v>33</v>
      </c>
      <c r="L34">
        <f>IFERROR(Table1[[#This Row],[% change]]+J34,"")</f>
        <v>-3.5167000000000002</v>
      </c>
      <c r="M34">
        <f>IFERROR(Table1[[#This Row],[Volume]]*Table1[[#This Row],[Closing]]+J34,"")</f>
        <v>60690765.003300004</v>
      </c>
    </row>
    <row r="35" spans="1:13" x14ac:dyDescent="0.25">
      <c r="A35" s="295" t="s">
        <v>763</v>
      </c>
      <c r="B35" s="296" t="s">
        <v>13</v>
      </c>
      <c r="C35" s="296" t="s">
        <v>13</v>
      </c>
      <c r="D35" s="296" t="s">
        <v>138</v>
      </c>
      <c r="E35">
        <v>83.45</v>
      </c>
      <c r="F35">
        <v>0.12</v>
      </c>
      <c r="G35">
        <v>650720</v>
      </c>
      <c r="J35">
        <v>3.3999999999999998E-3</v>
      </c>
      <c r="K35">
        <v>34</v>
      </c>
      <c r="L35">
        <f>IFERROR(Table1[[#This Row],[% change]]+J35,"")</f>
        <v>0.1234</v>
      </c>
      <c r="M35">
        <f>IFERROR(Table1[[#This Row],[Volume]]*Table1[[#This Row],[Closing]]+J35,"")</f>
        <v>54302584.003399998</v>
      </c>
    </row>
    <row r="36" spans="1:13" x14ac:dyDescent="0.25">
      <c r="A36" s="295" t="s">
        <v>763</v>
      </c>
      <c r="B36" s="296" t="s">
        <v>14</v>
      </c>
      <c r="C36" s="296" t="s">
        <v>83</v>
      </c>
      <c r="D36" s="296" t="s">
        <v>138</v>
      </c>
      <c r="E36">
        <v>0.79</v>
      </c>
      <c r="F36">
        <v>1.28</v>
      </c>
      <c r="G36">
        <v>1085000</v>
      </c>
      <c r="J36">
        <v>3.5000000000000001E-3</v>
      </c>
      <c r="K36">
        <v>35</v>
      </c>
      <c r="L36">
        <f>IFERROR(Table1[[#This Row],[% change]]+J36,"")</f>
        <v>1.2835000000000001</v>
      </c>
      <c r="M36">
        <f>IFERROR(Table1[[#This Row],[Volume]]*Table1[[#This Row],[Closing]]+J36,"")</f>
        <v>857150.00349999999</v>
      </c>
    </row>
    <row r="37" spans="1:13" x14ac:dyDescent="0.25">
      <c r="A37" s="295" t="s">
        <v>763</v>
      </c>
      <c r="B37" s="296" t="s">
        <v>684</v>
      </c>
      <c r="C37" s="296" t="s">
        <v>693</v>
      </c>
      <c r="D37" s="296" t="s">
        <v>138</v>
      </c>
      <c r="E37">
        <v>0.223</v>
      </c>
      <c r="F37">
        <v>-0.45</v>
      </c>
      <c r="G37">
        <v>30000</v>
      </c>
      <c r="J37">
        <v>3.5999999999999999E-3</v>
      </c>
      <c r="K37">
        <v>36</v>
      </c>
      <c r="L37">
        <f>IFERROR(Table1[[#This Row],[% change]]+J37,"")</f>
        <v>-0.44640000000000002</v>
      </c>
      <c r="M37">
        <f>IFERROR(Table1[[#This Row],[Volume]]*Table1[[#This Row],[Closing]]+J37,"")</f>
        <v>6690.0036</v>
      </c>
    </row>
    <row r="38" spans="1:13" x14ac:dyDescent="0.25">
      <c r="A38" s="295" t="s">
        <v>763</v>
      </c>
      <c r="B38" s="296" t="s">
        <v>387</v>
      </c>
      <c r="C38" s="296" t="s">
        <v>417</v>
      </c>
      <c r="D38" s="296" t="s">
        <v>138</v>
      </c>
      <c r="E38">
        <v>17.5</v>
      </c>
      <c r="F38">
        <v>-1.02</v>
      </c>
      <c r="G38">
        <v>15500</v>
      </c>
      <c r="J38">
        <v>3.7000000000000002E-3</v>
      </c>
      <c r="K38">
        <v>37</v>
      </c>
      <c r="L38">
        <f>IFERROR(Table1[[#This Row],[% change]]+J38,"")</f>
        <v>-1.0163</v>
      </c>
      <c r="M38">
        <f>IFERROR(Table1[[#This Row],[Volume]]*Table1[[#This Row],[Closing]]+J38,"")</f>
        <v>271250.0037</v>
      </c>
    </row>
    <row r="39" spans="1:13" x14ac:dyDescent="0.25">
      <c r="A39" s="295" t="s">
        <v>763</v>
      </c>
      <c r="B39" s="296" t="s">
        <v>15</v>
      </c>
      <c r="C39" s="296" t="s">
        <v>84</v>
      </c>
      <c r="D39" s="296" t="s">
        <v>138</v>
      </c>
      <c r="E39">
        <v>65.5</v>
      </c>
      <c r="F39">
        <v>0.08</v>
      </c>
      <c r="G39">
        <v>95760</v>
      </c>
      <c r="J39">
        <v>3.8E-3</v>
      </c>
      <c r="K39">
        <v>38</v>
      </c>
      <c r="L39">
        <f>IFERROR(Table1[[#This Row],[% change]]+J39,"")</f>
        <v>8.3799999999999999E-2</v>
      </c>
      <c r="M39">
        <f>IFERROR(Table1[[#This Row],[Volume]]*Table1[[#This Row],[Closing]]+J39,"")</f>
        <v>6272280.0038000001</v>
      </c>
    </row>
    <row r="40" spans="1:13" x14ac:dyDescent="0.25">
      <c r="A40" s="295" t="s">
        <v>763</v>
      </c>
      <c r="B40" s="296" t="s">
        <v>502</v>
      </c>
      <c r="C40" s="296" t="s">
        <v>551</v>
      </c>
      <c r="D40" s="296" t="s">
        <v>138</v>
      </c>
      <c r="E40">
        <v>0.222</v>
      </c>
      <c r="F40">
        <v>1.37</v>
      </c>
      <c r="G40">
        <v>1780000</v>
      </c>
      <c r="J40">
        <v>3.8999999999999998E-3</v>
      </c>
      <c r="K40">
        <v>39</v>
      </c>
      <c r="L40">
        <f>IFERROR(Table1[[#This Row],[% change]]+J40,"")</f>
        <v>1.3739000000000001</v>
      </c>
      <c r="M40">
        <f>IFERROR(Table1[[#This Row],[Volume]]*Table1[[#This Row],[Closing]]+J40,"")</f>
        <v>395160.00390000001</v>
      </c>
    </row>
    <row r="41" spans="1:13" x14ac:dyDescent="0.25">
      <c r="A41" s="295" t="s">
        <v>763</v>
      </c>
      <c r="B41" s="296" t="s">
        <v>705</v>
      </c>
      <c r="C41" s="296" t="s">
        <v>709</v>
      </c>
      <c r="D41" s="296" t="s">
        <v>138</v>
      </c>
      <c r="E41">
        <v>8</v>
      </c>
      <c r="F41">
        <v>0</v>
      </c>
      <c r="G41">
        <v>5500</v>
      </c>
      <c r="J41">
        <v>4.0000000000000001E-3</v>
      </c>
      <c r="K41">
        <v>40</v>
      </c>
      <c r="L41">
        <f>IFERROR(Table1[[#This Row],[% change]]+J41,"")</f>
        <v>4.0000000000000001E-3</v>
      </c>
      <c r="M41">
        <f>IFERROR(Table1[[#This Row],[Volume]]*Table1[[#This Row],[Closing]]+J41,"")</f>
        <v>44000.004000000001</v>
      </c>
    </row>
    <row r="42" spans="1:13" x14ac:dyDescent="0.25">
      <c r="A42" s="295" t="s">
        <v>763</v>
      </c>
      <c r="B42" s="296" t="s">
        <v>631</v>
      </c>
      <c r="C42" s="296" t="s">
        <v>643</v>
      </c>
      <c r="D42" s="296" t="s">
        <v>138</v>
      </c>
      <c r="E42">
        <v>5.05</v>
      </c>
      <c r="F42">
        <v>1</v>
      </c>
      <c r="G42">
        <v>100</v>
      </c>
      <c r="J42">
        <v>4.1000000000000003E-3</v>
      </c>
      <c r="K42">
        <v>41</v>
      </c>
      <c r="L42">
        <f>IFERROR(Table1[[#This Row],[% change]]+J42,"")</f>
        <v>1.0041</v>
      </c>
      <c r="M42">
        <f>IFERROR(Table1[[#This Row],[Volume]]*Table1[[#This Row],[Closing]]+J42,"")</f>
        <v>505.00409999999999</v>
      </c>
    </row>
    <row r="43" spans="1:13" x14ac:dyDescent="0.25">
      <c r="A43" s="295" t="s">
        <v>763</v>
      </c>
      <c r="B43" s="296" t="s">
        <v>16</v>
      </c>
      <c r="C43" s="296" t="s">
        <v>85</v>
      </c>
      <c r="D43" s="296" t="s">
        <v>138</v>
      </c>
      <c r="E43">
        <v>28.1</v>
      </c>
      <c r="F43">
        <v>0</v>
      </c>
      <c r="G43">
        <v>39000</v>
      </c>
      <c r="J43">
        <v>4.1999999999999997E-3</v>
      </c>
      <c r="K43">
        <v>42</v>
      </c>
      <c r="L43">
        <f>IFERROR(Table1[[#This Row],[% change]]+J43,"")</f>
        <v>4.1999999999999997E-3</v>
      </c>
      <c r="M43">
        <f>IFERROR(Table1[[#This Row],[Volume]]*Table1[[#This Row],[Closing]]+J43,"")</f>
        <v>1095900.0042000001</v>
      </c>
    </row>
    <row r="44" spans="1:13" x14ac:dyDescent="0.25">
      <c r="A44" s="295" t="s">
        <v>763</v>
      </c>
      <c r="B44" s="296" t="s">
        <v>17</v>
      </c>
      <c r="C44" s="296" t="s">
        <v>86</v>
      </c>
      <c r="D44" s="296" t="s">
        <v>138</v>
      </c>
      <c r="E44">
        <v>2.27</v>
      </c>
      <c r="F44">
        <v>-2.99</v>
      </c>
      <c r="G44">
        <v>6674000</v>
      </c>
      <c r="J44">
        <v>4.3E-3</v>
      </c>
      <c r="K44">
        <v>43</v>
      </c>
      <c r="L44">
        <f>IFERROR(Table1[[#This Row],[% change]]+J44,"")</f>
        <v>-2.9857</v>
      </c>
      <c r="M44">
        <f>IFERROR(Table1[[#This Row],[Volume]]*Table1[[#This Row],[Closing]]+J44,"")</f>
        <v>15149980.0043</v>
      </c>
    </row>
    <row r="45" spans="1:13" x14ac:dyDescent="0.25">
      <c r="A45" s="295" t="s">
        <v>763</v>
      </c>
      <c r="B45" s="296" t="s">
        <v>388</v>
      </c>
      <c r="C45" s="296" t="s">
        <v>418</v>
      </c>
      <c r="D45" s="296" t="s">
        <v>138</v>
      </c>
      <c r="E45">
        <v>38.6</v>
      </c>
      <c r="F45">
        <v>-0.26</v>
      </c>
      <c r="G45">
        <v>700</v>
      </c>
      <c r="J45">
        <v>4.4000000000000003E-3</v>
      </c>
      <c r="K45">
        <v>44</v>
      </c>
      <c r="L45">
        <f>IFERROR(Table1[[#This Row],[% change]]+J45,"")</f>
        <v>-0.25559999999999999</v>
      </c>
      <c r="M45">
        <f>IFERROR(Table1[[#This Row],[Volume]]*Table1[[#This Row],[Closing]]+J45,"")</f>
        <v>27020.004400000002</v>
      </c>
    </row>
    <row r="46" spans="1:13" x14ac:dyDescent="0.25">
      <c r="A46" s="295" t="s">
        <v>763</v>
      </c>
      <c r="B46" s="296" t="s">
        <v>257</v>
      </c>
      <c r="C46" s="296" t="s">
        <v>268</v>
      </c>
      <c r="D46" s="296" t="s">
        <v>138</v>
      </c>
      <c r="E46">
        <v>5.89</v>
      </c>
      <c r="F46">
        <v>3.88</v>
      </c>
      <c r="G46">
        <v>3088600</v>
      </c>
      <c r="J46">
        <v>4.4999999999999997E-3</v>
      </c>
      <c r="K46">
        <v>45</v>
      </c>
      <c r="L46">
        <f>IFERROR(Table1[[#This Row],[% change]]+J46,"")</f>
        <v>3.8845000000000001</v>
      </c>
      <c r="M46">
        <f>IFERROR(Table1[[#This Row],[Volume]]*Table1[[#This Row],[Closing]]+J46,"")</f>
        <v>18191854.004500002</v>
      </c>
    </row>
    <row r="47" spans="1:13" x14ac:dyDescent="0.25">
      <c r="A47" s="295" t="s">
        <v>763</v>
      </c>
      <c r="B47" s="296" t="s">
        <v>503</v>
      </c>
      <c r="C47" s="296" t="s">
        <v>552</v>
      </c>
      <c r="D47" s="296" t="s">
        <v>138</v>
      </c>
      <c r="E47">
        <v>4.3600000000000003</v>
      </c>
      <c r="F47">
        <v>-1.36</v>
      </c>
      <c r="G47">
        <v>55000</v>
      </c>
      <c r="J47">
        <v>4.5999999999999999E-3</v>
      </c>
      <c r="K47">
        <v>46</v>
      </c>
      <c r="L47">
        <f>IFERROR(Table1[[#This Row],[% change]]+J47,"")</f>
        <v>-1.3554000000000002</v>
      </c>
      <c r="M47">
        <f>IFERROR(Table1[[#This Row],[Volume]]*Table1[[#This Row],[Closing]]+J47,"")</f>
        <v>239800.00460000001</v>
      </c>
    </row>
    <row r="48" spans="1:13" x14ac:dyDescent="0.25">
      <c r="A48" s="295" t="s">
        <v>763</v>
      </c>
      <c r="B48" s="296" t="s">
        <v>372</v>
      </c>
      <c r="C48" s="296" t="s">
        <v>373</v>
      </c>
      <c r="D48" s="296" t="s">
        <v>138</v>
      </c>
      <c r="E48">
        <v>13.2</v>
      </c>
      <c r="F48">
        <v>-1.2</v>
      </c>
      <c r="G48">
        <v>300800</v>
      </c>
      <c r="J48">
        <v>4.7000000000000002E-3</v>
      </c>
      <c r="K48">
        <v>47</v>
      </c>
      <c r="L48">
        <f>IFERROR(Table1[[#This Row],[% change]]+J48,"")</f>
        <v>-1.1953</v>
      </c>
      <c r="M48">
        <f>IFERROR(Table1[[#This Row],[Volume]]*Table1[[#This Row],[Closing]]+J48,"")</f>
        <v>3970560.0046999999</v>
      </c>
    </row>
    <row r="49" spans="1:13" x14ac:dyDescent="0.25">
      <c r="A49" s="295" t="s">
        <v>763</v>
      </c>
      <c r="B49" s="296" t="s">
        <v>632</v>
      </c>
      <c r="C49" s="296" t="s">
        <v>644</v>
      </c>
      <c r="D49" s="296" t="s">
        <v>138</v>
      </c>
      <c r="E49">
        <v>0.3</v>
      </c>
      <c r="F49">
        <v>-1.64</v>
      </c>
      <c r="G49">
        <v>10000</v>
      </c>
      <c r="J49">
        <v>4.7999999999999996E-3</v>
      </c>
      <c r="K49">
        <v>48</v>
      </c>
      <c r="L49">
        <f>IFERROR(Table1[[#This Row],[% change]]+J49,"")</f>
        <v>-1.6352</v>
      </c>
      <c r="M49">
        <f>IFERROR(Table1[[#This Row],[Volume]]*Table1[[#This Row],[Closing]]+J49,"")</f>
        <v>3000.0048000000002</v>
      </c>
    </row>
    <row r="50" spans="1:13" x14ac:dyDescent="0.25">
      <c r="A50" s="295" t="s">
        <v>763</v>
      </c>
      <c r="B50" s="296" t="s">
        <v>504</v>
      </c>
      <c r="C50" s="296" t="s">
        <v>553</v>
      </c>
      <c r="D50" s="296" t="s">
        <v>138</v>
      </c>
      <c r="E50">
        <v>15.82</v>
      </c>
      <c r="F50">
        <v>0</v>
      </c>
      <c r="G50">
        <v>2700</v>
      </c>
      <c r="J50">
        <v>4.8999999999999998E-3</v>
      </c>
      <c r="K50">
        <v>49</v>
      </c>
      <c r="L50">
        <f>IFERROR(Table1[[#This Row],[% change]]+J50,"")</f>
        <v>4.8999999999999998E-3</v>
      </c>
      <c r="M50">
        <f>IFERROR(Table1[[#This Row],[Volume]]*Table1[[#This Row],[Closing]]+J50,"")</f>
        <v>42714.0049</v>
      </c>
    </row>
    <row r="51" spans="1:13" x14ac:dyDescent="0.25">
      <c r="A51" s="295" t="s">
        <v>763</v>
      </c>
      <c r="B51" s="296" t="s">
        <v>18</v>
      </c>
      <c r="C51" s="296" t="s">
        <v>87</v>
      </c>
      <c r="D51" s="296" t="s">
        <v>138</v>
      </c>
      <c r="E51">
        <v>6.81</v>
      </c>
      <c r="F51">
        <v>-2.44</v>
      </c>
      <c r="G51">
        <v>1823400</v>
      </c>
      <c r="J51">
        <v>5.0000000000000001E-3</v>
      </c>
      <c r="K51">
        <v>50</v>
      </c>
      <c r="L51">
        <f>IFERROR(Table1[[#This Row],[% change]]+J51,"")</f>
        <v>-2.4350000000000001</v>
      </c>
      <c r="M51">
        <f>IFERROR(Table1[[#This Row],[Volume]]*Table1[[#This Row],[Closing]]+J51,"")</f>
        <v>12417354.005000001</v>
      </c>
    </row>
    <row r="52" spans="1:13" x14ac:dyDescent="0.25">
      <c r="A52" s="295" t="s">
        <v>763</v>
      </c>
      <c r="B52" s="296" t="s">
        <v>19</v>
      </c>
      <c r="C52" s="296" t="s">
        <v>19</v>
      </c>
      <c r="D52" s="296" t="s">
        <v>138</v>
      </c>
      <c r="E52">
        <v>0.42</v>
      </c>
      <c r="F52">
        <v>0</v>
      </c>
      <c r="G52">
        <v>1680000</v>
      </c>
      <c r="J52">
        <v>5.1000000000000004E-3</v>
      </c>
      <c r="K52">
        <v>51</v>
      </c>
      <c r="L52">
        <f>IFERROR(Table1[[#This Row],[% change]]+J52,"")</f>
        <v>5.1000000000000004E-3</v>
      </c>
      <c r="M52">
        <f>IFERROR(Table1[[#This Row],[Volume]]*Table1[[#This Row],[Closing]]+J52,"")</f>
        <v>705600.00509999995</v>
      </c>
    </row>
    <row r="53" spans="1:13" x14ac:dyDescent="0.25">
      <c r="A53" s="295" t="s">
        <v>763</v>
      </c>
      <c r="B53" s="296" t="s">
        <v>505</v>
      </c>
      <c r="C53" s="296" t="s">
        <v>554</v>
      </c>
      <c r="D53" s="296" t="s">
        <v>138</v>
      </c>
      <c r="E53">
        <v>1.91</v>
      </c>
      <c r="F53">
        <v>0</v>
      </c>
      <c r="G53">
        <v>231000</v>
      </c>
      <c r="J53">
        <v>5.1999999999999998E-3</v>
      </c>
      <c r="K53">
        <v>52</v>
      </c>
      <c r="L53">
        <f>IFERROR(Table1[[#This Row],[% change]]+J53,"")</f>
        <v>5.1999999999999998E-3</v>
      </c>
      <c r="M53">
        <f>IFERROR(Table1[[#This Row],[Volume]]*Table1[[#This Row],[Closing]]+J53,"")</f>
        <v>441210.00520000001</v>
      </c>
    </row>
    <row r="54" spans="1:13" x14ac:dyDescent="0.25">
      <c r="A54" s="295" t="s">
        <v>763</v>
      </c>
      <c r="B54" s="296" t="s">
        <v>605</v>
      </c>
      <c r="C54" s="296" t="s">
        <v>615</v>
      </c>
      <c r="D54" s="296" t="s">
        <v>138</v>
      </c>
      <c r="E54">
        <v>1.63</v>
      </c>
      <c r="F54">
        <v>1.88</v>
      </c>
      <c r="G54">
        <v>220000</v>
      </c>
      <c r="J54">
        <v>5.3E-3</v>
      </c>
      <c r="K54">
        <v>53</v>
      </c>
      <c r="L54">
        <f>IFERROR(Table1[[#This Row],[% change]]+J54,"")</f>
        <v>1.8853</v>
      </c>
      <c r="M54">
        <f>IFERROR(Table1[[#This Row],[Volume]]*Table1[[#This Row],[Closing]]+J54,"")</f>
        <v>358600.00530000002</v>
      </c>
    </row>
    <row r="55" spans="1:13" x14ac:dyDescent="0.25">
      <c r="A55" s="295" t="s">
        <v>763</v>
      </c>
      <c r="B55" s="296" t="s">
        <v>685</v>
      </c>
      <c r="C55" s="296" t="s">
        <v>694</v>
      </c>
      <c r="D55" s="296" t="s">
        <v>138</v>
      </c>
      <c r="E55">
        <v>0.39500000000000002</v>
      </c>
      <c r="F55">
        <v>-1.25</v>
      </c>
      <c r="G55">
        <v>40000</v>
      </c>
      <c r="J55">
        <v>5.4000000000000003E-3</v>
      </c>
      <c r="K55">
        <v>54</v>
      </c>
      <c r="L55">
        <f>IFERROR(Table1[[#This Row],[% change]]+J55,"")</f>
        <v>-1.2445999999999999</v>
      </c>
      <c r="M55">
        <f>IFERROR(Table1[[#This Row],[Volume]]*Table1[[#This Row],[Closing]]+J55,"")</f>
        <v>15800.0054</v>
      </c>
    </row>
    <row r="56" spans="1:13" x14ac:dyDescent="0.25">
      <c r="A56" s="295" t="s">
        <v>763</v>
      </c>
      <c r="B56" s="296" t="s">
        <v>706</v>
      </c>
      <c r="C56" s="296" t="s">
        <v>710</v>
      </c>
      <c r="D56" s="296" t="s">
        <v>138</v>
      </c>
      <c r="E56">
        <v>4.8</v>
      </c>
      <c r="F56">
        <v>17.07</v>
      </c>
      <c r="G56">
        <v>77000</v>
      </c>
      <c r="J56">
        <v>5.4999999999999997E-3</v>
      </c>
      <c r="K56">
        <v>55</v>
      </c>
      <c r="L56">
        <f>IFERROR(Table1[[#This Row],[% change]]+J56,"")</f>
        <v>17.075500000000002</v>
      </c>
      <c r="M56">
        <f>IFERROR(Table1[[#This Row],[Volume]]*Table1[[#This Row],[Closing]]+J56,"")</f>
        <v>369600.00550000003</v>
      </c>
    </row>
    <row r="57" spans="1:13" x14ac:dyDescent="0.25">
      <c r="A57" s="295" t="s">
        <v>763</v>
      </c>
      <c r="B57" s="296" t="s">
        <v>20</v>
      </c>
      <c r="C57" s="296" t="s">
        <v>88</v>
      </c>
      <c r="D57" s="296" t="s">
        <v>138</v>
      </c>
      <c r="E57">
        <v>20.2</v>
      </c>
      <c r="F57">
        <v>-0.25</v>
      </c>
      <c r="G57">
        <v>284300</v>
      </c>
      <c r="J57">
        <v>5.5999999999999999E-3</v>
      </c>
      <c r="K57">
        <v>56</v>
      </c>
      <c r="L57">
        <f>IFERROR(Table1[[#This Row],[% change]]+J57,"")</f>
        <v>-0.24440000000000001</v>
      </c>
      <c r="M57">
        <f>IFERROR(Table1[[#This Row],[Volume]]*Table1[[#This Row],[Closing]]+J57,"")</f>
        <v>5742860.0055999998</v>
      </c>
    </row>
    <row r="58" spans="1:13" x14ac:dyDescent="0.25">
      <c r="A58" s="295" t="s">
        <v>763</v>
      </c>
      <c r="B58" s="296" t="s">
        <v>506</v>
      </c>
      <c r="C58" s="296" t="s">
        <v>555</v>
      </c>
      <c r="D58" s="296" t="s">
        <v>138</v>
      </c>
      <c r="E58">
        <v>96.5</v>
      </c>
      <c r="F58">
        <v>-0.52</v>
      </c>
      <c r="G58">
        <v>30690</v>
      </c>
      <c r="J58">
        <v>5.7000000000000002E-3</v>
      </c>
      <c r="K58">
        <v>57</v>
      </c>
      <c r="L58">
        <f>IFERROR(Table1[[#This Row],[% change]]+J58,"")</f>
        <v>-0.51429999999999998</v>
      </c>
      <c r="M58">
        <f>IFERROR(Table1[[#This Row],[Volume]]*Table1[[#This Row],[Closing]]+J58,"")</f>
        <v>2961585.0057000001</v>
      </c>
    </row>
    <row r="59" spans="1:13" x14ac:dyDescent="0.25">
      <c r="A59" s="295" t="s">
        <v>763</v>
      </c>
      <c r="B59" s="296" t="s">
        <v>507</v>
      </c>
      <c r="C59" s="296" t="s">
        <v>556</v>
      </c>
      <c r="D59" s="296" t="s">
        <v>138</v>
      </c>
      <c r="E59">
        <v>6.64</v>
      </c>
      <c r="F59">
        <v>-6.48</v>
      </c>
      <c r="G59">
        <v>3300</v>
      </c>
      <c r="J59">
        <v>5.7999999999999996E-3</v>
      </c>
      <c r="K59">
        <v>58</v>
      </c>
      <c r="L59">
        <f>IFERROR(Table1[[#This Row],[% change]]+J59,"")</f>
        <v>-6.4742000000000006</v>
      </c>
      <c r="M59">
        <f>IFERROR(Table1[[#This Row],[Volume]]*Table1[[#This Row],[Closing]]+J59,"")</f>
        <v>21912.005799999999</v>
      </c>
    </row>
    <row r="60" spans="1:13" x14ac:dyDescent="0.25">
      <c r="A60" s="295" t="s">
        <v>763</v>
      </c>
      <c r="B60" s="296" t="s">
        <v>661</v>
      </c>
      <c r="C60" s="296" t="s">
        <v>664</v>
      </c>
      <c r="D60" s="296" t="s">
        <v>138</v>
      </c>
      <c r="E60">
        <v>7.65</v>
      </c>
      <c r="F60">
        <v>-4.38</v>
      </c>
      <c r="G60">
        <v>396100</v>
      </c>
      <c r="J60">
        <v>5.8999999999999999E-3</v>
      </c>
      <c r="K60">
        <v>59</v>
      </c>
      <c r="L60">
        <f>IFERROR(Table1[[#This Row],[% change]]+J60,"")</f>
        <v>-4.3741000000000003</v>
      </c>
      <c r="M60">
        <f>IFERROR(Table1[[#This Row],[Volume]]*Table1[[#This Row],[Closing]]+J60,"")</f>
        <v>3030165.0059000002</v>
      </c>
    </row>
    <row r="61" spans="1:13" x14ac:dyDescent="0.25">
      <c r="A61" s="295" t="s">
        <v>763</v>
      </c>
      <c r="B61" s="296" t="s">
        <v>379</v>
      </c>
      <c r="C61" s="296" t="s">
        <v>380</v>
      </c>
      <c r="D61" s="296" t="s">
        <v>138</v>
      </c>
      <c r="E61">
        <v>7.29</v>
      </c>
      <c r="F61">
        <v>-1.62</v>
      </c>
      <c r="G61">
        <v>1600</v>
      </c>
      <c r="J61">
        <v>6.0000000000000001E-3</v>
      </c>
      <c r="K61">
        <v>60</v>
      </c>
      <c r="L61">
        <f>IFERROR(Table1[[#This Row],[% change]]+J61,"")</f>
        <v>-1.6140000000000001</v>
      </c>
      <c r="M61">
        <f>IFERROR(Table1[[#This Row],[Volume]]*Table1[[#This Row],[Closing]]+J61,"")</f>
        <v>11664.005999999999</v>
      </c>
    </row>
    <row r="62" spans="1:13" x14ac:dyDescent="0.25">
      <c r="A62" s="295" t="s">
        <v>763</v>
      </c>
      <c r="B62" s="296" t="s">
        <v>21</v>
      </c>
      <c r="C62" s="296" t="s">
        <v>89</v>
      </c>
      <c r="D62" s="296" t="s">
        <v>138</v>
      </c>
      <c r="E62">
        <v>12.14</v>
      </c>
      <c r="F62">
        <v>0.33</v>
      </c>
      <c r="G62">
        <v>1402000</v>
      </c>
      <c r="J62">
        <v>6.1000000000000004E-3</v>
      </c>
      <c r="K62">
        <v>61</v>
      </c>
      <c r="L62">
        <f>IFERROR(Table1[[#This Row],[% change]]+J62,"")</f>
        <v>0.33610000000000001</v>
      </c>
      <c r="M62">
        <f>IFERROR(Table1[[#This Row],[Volume]]*Table1[[#This Row],[Closing]]+J62,"")</f>
        <v>17020280.006099999</v>
      </c>
    </row>
    <row r="63" spans="1:13" x14ac:dyDescent="0.25">
      <c r="A63" s="295" t="s">
        <v>763</v>
      </c>
      <c r="B63" s="296" t="s">
        <v>743</v>
      </c>
      <c r="C63" s="296" t="s">
        <v>753</v>
      </c>
      <c r="D63" s="296" t="s">
        <v>138</v>
      </c>
      <c r="E63">
        <v>10</v>
      </c>
      <c r="F63">
        <v>0</v>
      </c>
      <c r="G63">
        <v>1000</v>
      </c>
      <c r="J63">
        <v>6.1999999999999998E-3</v>
      </c>
      <c r="K63">
        <v>62</v>
      </c>
      <c r="L63">
        <f>IFERROR(Table1[[#This Row],[% change]]+J63,"")</f>
        <v>6.1999999999999998E-3</v>
      </c>
      <c r="M63">
        <f>IFERROR(Table1[[#This Row],[Volume]]*Table1[[#This Row],[Closing]]+J63,"")</f>
        <v>10000.0062</v>
      </c>
    </row>
    <row r="64" spans="1:13" x14ac:dyDescent="0.25">
      <c r="A64" s="295" t="s">
        <v>763</v>
      </c>
      <c r="B64" s="296" t="s">
        <v>744</v>
      </c>
      <c r="C64" s="296" t="s">
        <v>754</v>
      </c>
      <c r="D64" s="296" t="s">
        <v>138</v>
      </c>
      <c r="E64">
        <v>10</v>
      </c>
      <c r="F64">
        <v>0</v>
      </c>
      <c r="G64">
        <v>7500</v>
      </c>
      <c r="J64">
        <v>6.3E-3</v>
      </c>
      <c r="K64">
        <v>63</v>
      </c>
      <c r="L64">
        <f>IFERROR(Table1[[#This Row],[% change]]+J64,"")</f>
        <v>6.3E-3</v>
      </c>
      <c r="M64">
        <f>IFERROR(Table1[[#This Row],[Volume]]*Table1[[#This Row],[Closing]]+J64,"")</f>
        <v>75000.006299999994</v>
      </c>
    </row>
    <row r="65" spans="1:13" x14ac:dyDescent="0.25">
      <c r="A65" s="295" t="s">
        <v>763</v>
      </c>
      <c r="B65" s="296" t="s">
        <v>508</v>
      </c>
      <c r="C65" s="296" t="s">
        <v>557</v>
      </c>
      <c r="D65" s="296" t="s">
        <v>138</v>
      </c>
      <c r="E65">
        <v>8.15</v>
      </c>
      <c r="F65">
        <v>2</v>
      </c>
      <c r="G65">
        <v>64000</v>
      </c>
      <c r="J65">
        <v>6.4000000000000003E-3</v>
      </c>
      <c r="K65">
        <v>64</v>
      </c>
      <c r="L65">
        <f>IFERROR(Table1[[#This Row],[% change]]+J65,"")</f>
        <v>2.0064000000000002</v>
      </c>
      <c r="M65">
        <f>IFERROR(Table1[[#This Row],[Volume]]*Table1[[#This Row],[Closing]]+J65,"")</f>
        <v>521600.00640000001</v>
      </c>
    </row>
    <row r="66" spans="1:13" x14ac:dyDescent="0.25">
      <c r="A66" s="295" t="s">
        <v>763</v>
      </c>
      <c r="B66" s="296" t="s">
        <v>22</v>
      </c>
      <c r="C66" s="296" t="s">
        <v>90</v>
      </c>
      <c r="D66" s="296" t="s">
        <v>138</v>
      </c>
      <c r="E66">
        <v>10.72</v>
      </c>
      <c r="F66">
        <v>-0.37</v>
      </c>
      <c r="G66">
        <v>206300</v>
      </c>
      <c r="J66">
        <v>6.4999999999999997E-3</v>
      </c>
      <c r="K66">
        <v>65</v>
      </c>
      <c r="L66">
        <f>IFERROR(Table1[[#This Row],[% change]]+J66,"")</f>
        <v>-0.36349999999999999</v>
      </c>
      <c r="M66">
        <f>IFERROR(Table1[[#This Row],[Volume]]*Table1[[#This Row],[Closing]]+J66,"")</f>
        <v>2211536.0065000001</v>
      </c>
    </row>
    <row r="67" spans="1:13" x14ac:dyDescent="0.25">
      <c r="A67" s="295" t="s">
        <v>763</v>
      </c>
      <c r="B67" s="296" t="s">
        <v>716</v>
      </c>
      <c r="C67" s="296" t="s">
        <v>729</v>
      </c>
      <c r="D67" s="296" t="s">
        <v>138</v>
      </c>
      <c r="E67">
        <v>2.1800000000000002</v>
      </c>
      <c r="F67">
        <v>-0.46</v>
      </c>
      <c r="G67">
        <v>11000</v>
      </c>
      <c r="J67">
        <v>6.6E-3</v>
      </c>
      <c r="K67">
        <v>66</v>
      </c>
      <c r="L67">
        <f>IFERROR(Table1[[#This Row],[% change]]+J67,"")</f>
        <v>-0.45340000000000003</v>
      </c>
      <c r="M67">
        <f>IFERROR(Table1[[#This Row],[Volume]]*Table1[[#This Row],[Closing]]+J67,"")</f>
        <v>23980.006600000001</v>
      </c>
    </row>
    <row r="68" spans="1:13" x14ac:dyDescent="0.25">
      <c r="A68" s="295" t="s">
        <v>763</v>
      </c>
      <c r="B68" s="296" t="s">
        <v>633</v>
      </c>
      <c r="C68" s="296" t="s">
        <v>645</v>
      </c>
      <c r="D68" s="296" t="s">
        <v>138</v>
      </c>
      <c r="E68">
        <v>15</v>
      </c>
      <c r="F68">
        <v>0.54</v>
      </c>
      <c r="G68">
        <v>173700</v>
      </c>
      <c r="J68">
        <v>6.7000000000000002E-3</v>
      </c>
      <c r="K68">
        <v>67</v>
      </c>
      <c r="L68">
        <f>IFERROR(Table1[[#This Row],[% change]]+J68,"")</f>
        <v>0.54670000000000007</v>
      </c>
      <c r="M68">
        <f>IFERROR(Table1[[#This Row],[Volume]]*Table1[[#This Row],[Closing]]+J68,"")</f>
        <v>2605500.0066999998</v>
      </c>
    </row>
    <row r="69" spans="1:13" x14ac:dyDescent="0.25">
      <c r="A69" s="295" t="s">
        <v>763</v>
      </c>
      <c r="B69" s="296" t="s">
        <v>163</v>
      </c>
      <c r="C69" s="296" t="s">
        <v>269</v>
      </c>
      <c r="D69" s="296" t="s">
        <v>138</v>
      </c>
      <c r="E69">
        <v>13.1</v>
      </c>
      <c r="F69">
        <v>-6.43</v>
      </c>
      <c r="G69">
        <v>271600</v>
      </c>
      <c r="J69">
        <v>6.7999999999999996E-3</v>
      </c>
      <c r="K69">
        <v>68</v>
      </c>
      <c r="L69">
        <f>IFERROR(Table1[[#This Row],[% change]]+J69,"")</f>
        <v>-6.4231999999999996</v>
      </c>
      <c r="M69">
        <f>IFERROR(Table1[[#This Row],[Volume]]*Table1[[#This Row],[Closing]]+J69,"")</f>
        <v>3557960.0068000001</v>
      </c>
    </row>
    <row r="70" spans="1:13" x14ac:dyDescent="0.25">
      <c r="A70" s="295" t="s">
        <v>763</v>
      </c>
      <c r="B70" s="296" t="s">
        <v>23</v>
      </c>
      <c r="C70" s="296" t="s">
        <v>91</v>
      </c>
      <c r="D70" s="296" t="s">
        <v>138</v>
      </c>
      <c r="E70">
        <v>8</v>
      </c>
      <c r="F70">
        <v>11.11</v>
      </c>
      <c r="G70">
        <v>139700</v>
      </c>
      <c r="J70">
        <v>6.8999999999999999E-3</v>
      </c>
      <c r="K70">
        <v>69</v>
      </c>
      <c r="L70">
        <f>IFERROR(Table1[[#This Row],[% change]]+J70,"")</f>
        <v>11.116899999999999</v>
      </c>
      <c r="M70">
        <f>IFERROR(Table1[[#This Row],[Volume]]*Table1[[#This Row],[Closing]]+J70,"")</f>
        <v>1117600.0068999999</v>
      </c>
    </row>
    <row r="71" spans="1:13" x14ac:dyDescent="0.25">
      <c r="A71" s="295" t="s">
        <v>763</v>
      </c>
      <c r="B71" s="296" t="s">
        <v>509</v>
      </c>
      <c r="C71" s="296" t="s">
        <v>558</v>
      </c>
      <c r="D71" s="296" t="s">
        <v>138</v>
      </c>
      <c r="E71">
        <v>8.6300000000000008</v>
      </c>
      <c r="F71">
        <v>5.5</v>
      </c>
      <c r="G71">
        <v>240800</v>
      </c>
      <c r="J71">
        <v>7.0000000000000001E-3</v>
      </c>
      <c r="K71">
        <v>70</v>
      </c>
      <c r="L71">
        <f>IFERROR(Table1[[#This Row],[% change]]+J71,"")</f>
        <v>5.5069999999999997</v>
      </c>
      <c r="M71">
        <f>IFERROR(Table1[[#This Row],[Volume]]*Table1[[#This Row],[Closing]]+J71,"")</f>
        <v>2078104.0070000002</v>
      </c>
    </row>
    <row r="72" spans="1:13" x14ac:dyDescent="0.25">
      <c r="A72" s="295" t="s">
        <v>763</v>
      </c>
      <c r="B72" s="296" t="s">
        <v>510</v>
      </c>
      <c r="C72" s="296" t="s">
        <v>559</v>
      </c>
      <c r="D72" s="296" t="s">
        <v>138</v>
      </c>
      <c r="E72">
        <v>0.52</v>
      </c>
      <c r="F72">
        <v>0</v>
      </c>
      <c r="G72">
        <v>21000</v>
      </c>
      <c r="J72">
        <v>7.1000000000000004E-3</v>
      </c>
      <c r="K72">
        <v>71</v>
      </c>
      <c r="L72">
        <f>IFERROR(Table1[[#This Row],[% change]]+J72,"")</f>
        <v>7.1000000000000004E-3</v>
      </c>
      <c r="M72">
        <f>IFERROR(Table1[[#This Row],[Volume]]*Table1[[#This Row],[Closing]]+J72,"")</f>
        <v>10920.007100000001</v>
      </c>
    </row>
    <row r="73" spans="1:13" x14ac:dyDescent="0.25">
      <c r="A73" s="295" t="s">
        <v>763</v>
      </c>
      <c r="B73" s="296" t="s">
        <v>511</v>
      </c>
      <c r="C73" s="296" t="s">
        <v>560</v>
      </c>
      <c r="D73" s="296" t="s">
        <v>138</v>
      </c>
      <c r="E73">
        <v>6.99</v>
      </c>
      <c r="F73">
        <v>-0.28999999999999998</v>
      </c>
      <c r="G73">
        <v>284900</v>
      </c>
      <c r="J73">
        <v>7.1999999999999998E-3</v>
      </c>
      <c r="K73">
        <v>72</v>
      </c>
      <c r="L73">
        <f>IFERROR(Table1[[#This Row],[% change]]+J73,"")</f>
        <v>-0.2828</v>
      </c>
      <c r="M73">
        <f>IFERROR(Table1[[#This Row],[Volume]]*Table1[[#This Row],[Closing]]+J73,"")</f>
        <v>1991451.0072000001</v>
      </c>
    </row>
    <row r="74" spans="1:13" x14ac:dyDescent="0.25">
      <c r="A74" s="295" t="s">
        <v>763</v>
      </c>
      <c r="B74" s="296" t="s">
        <v>686</v>
      </c>
      <c r="C74" s="296" t="s">
        <v>695</v>
      </c>
      <c r="D74" s="296" t="s">
        <v>138</v>
      </c>
      <c r="E74">
        <v>1.7</v>
      </c>
      <c r="F74">
        <v>0.59</v>
      </c>
      <c r="G74">
        <v>1000</v>
      </c>
      <c r="J74">
        <v>7.3000000000000001E-3</v>
      </c>
      <c r="K74">
        <v>73</v>
      </c>
      <c r="L74">
        <f>IFERROR(Table1[[#This Row],[% change]]+J74,"")</f>
        <v>0.59729999999999994</v>
      </c>
      <c r="M74">
        <f>IFERROR(Table1[[#This Row],[Volume]]*Table1[[#This Row],[Closing]]+J74,"")</f>
        <v>1700.0073</v>
      </c>
    </row>
    <row r="75" spans="1:13" x14ac:dyDescent="0.25">
      <c r="A75" s="295" t="s">
        <v>763</v>
      </c>
      <c r="B75" s="296" t="s">
        <v>24</v>
      </c>
      <c r="C75" s="296" t="s">
        <v>24</v>
      </c>
      <c r="D75" s="296" t="s">
        <v>138</v>
      </c>
      <c r="E75">
        <v>11.72</v>
      </c>
      <c r="F75">
        <v>0</v>
      </c>
      <c r="G75">
        <v>320800</v>
      </c>
      <c r="J75">
        <v>7.4000000000000003E-3</v>
      </c>
      <c r="K75">
        <v>74</v>
      </c>
      <c r="L75">
        <f>IFERROR(Table1[[#This Row],[% change]]+J75,"")</f>
        <v>7.4000000000000003E-3</v>
      </c>
      <c r="M75">
        <f>IFERROR(Table1[[#This Row],[Volume]]*Table1[[#This Row],[Closing]]+J75,"")</f>
        <v>3759776.0074</v>
      </c>
    </row>
    <row r="76" spans="1:13" x14ac:dyDescent="0.25">
      <c r="A76" s="295" t="s">
        <v>763</v>
      </c>
      <c r="B76" s="296" t="s">
        <v>258</v>
      </c>
      <c r="C76" s="296" t="s">
        <v>116</v>
      </c>
      <c r="D76" s="296" t="s">
        <v>138</v>
      </c>
      <c r="E76">
        <v>84.5</v>
      </c>
      <c r="F76">
        <v>-0.35</v>
      </c>
      <c r="G76">
        <v>794140</v>
      </c>
      <c r="J76">
        <v>7.4999999999999997E-3</v>
      </c>
      <c r="K76">
        <v>75</v>
      </c>
      <c r="L76">
        <f>IFERROR(Table1[[#This Row],[% change]]+J76,"")</f>
        <v>-0.34249999999999997</v>
      </c>
      <c r="M76">
        <f>IFERROR(Table1[[#This Row],[Volume]]*Table1[[#This Row],[Closing]]+J76,"")</f>
        <v>67104830.0075</v>
      </c>
    </row>
    <row r="77" spans="1:13" x14ac:dyDescent="0.25">
      <c r="A77" s="295" t="s">
        <v>763</v>
      </c>
      <c r="B77" s="296" t="s">
        <v>512</v>
      </c>
      <c r="C77" s="296" t="s">
        <v>561</v>
      </c>
      <c r="D77" s="296" t="s">
        <v>138</v>
      </c>
      <c r="E77">
        <v>7.2</v>
      </c>
      <c r="F77">
        <v>0</v>
      </c>
      <c r="G77">
        <v>32800</v>
      </c>
      <c r="J77">
        <v>7.6E-3</v>
      </c>
      <c r="K77">
        <v>76</v>
      </c>
      <c r="L77">
        <f>IFERROR(Table1[[#This Row],[% change]]+J77,"")</f>
        <v>7.6E-3</v>
      </c>
      <c r="M77">
        <f>IFERROR(Table1[[#This Row],[Volume]]*Table1[[#This Row],[Closing]]+J77,"")</f>
        <v>236160.00760000001</v>
      </c>
    </row>
    <row r="78" spans="1:13" x14ac:dyDescent="0.25">
      <c r="A78" s="295" t="s">
        <v>763</v>
      </c>
      <c r="B78" s="296" t="s">
        <v>389</v>
      </c>
      <c r="C78" s="296" t="s">
        <v>419</v>
      </c>
      <c r="D78" s="296" t="s">
        <v>138</v>
      </c>
      <c r="E78">
        <v>4.01</v>
      </c>
      <c r="F78">
        <v>-4.5199999999999996</v>
      </c>
      <c r="G78">
        <v>52000</v>
      </c>
      <c r="J78">
        <v>7.7000000000000002E-3</v>
      </c>
      <c r="K78">
        <v>77</v>
      </c>
      <c r="L78">
        <f>IFERROR(Table1[[#This Row],[% change]]+J78,"")</f>
        <v>-4.5122999999999998</v>
      </c>
      <c r="M78">
        <f>IFERROR(Table1[[#This Row],[Volume]]*Table1[[#This Row],[Closing]]+J78,"")</f>
        <v>208520.00769999999</v>
      </c>
    </row>
    <row r="79" spans="1:13" x14ac:dyDescent="0.25">
      <c r="A79" s="295" t="s">
        <v>763</v>
      </c>
      <c r="B79" s="296" t="s">
        <v>390</v>
      </c>
      <c r="C79" s="296" t="s">
        <v>420</v>
      </c>
      <c r="D79" s="296" t="s">
        <v>138</v>
      </c>
      <c r="E79">
        <v>16.16</v>
      </c>
      <c r="F79">
        <v>1.1299999999999999</v>
      </c>
      <c r="G79">
        <v>549400</v>
      </c>
      <c r="J79">
        <v>7.7999999999999996E-3</v>
      </c>
      <c r="K79">
        <v>78</v>
      </c>
      <c r="L79">
        <f>IFERROR(Table1[[#This Row],[% change]]+J79,"")</f>
        <v>1.1377999999999999</v>
      </c>
      <c r="M79">
        <f>IFERROR(Table1[[#This Row],[Volume]]*Table1[[#This Row],[Closing]]+J79,"")</f>
        <v>8878304.0077999998</v>
      </c>
    </row>
    <row r="80" spans="1:13" x14ac:dyDescent="0.25">
      <c r="A80" s="295" t="s">
        <v>763</v>
      </c>
      <c r="B80" s="296" t="s">
        <v>25</v>
      </c>
      <c r="C80" s="296" t="s">
        <v>92</v>
      </c>
      <c r="D80" s="296" t="s">
        <v>138</v>
      </c>
      <c r="E80">
        <v>1.44</v>
      </c>
      <c r="F80">
        <v>-0.69</v>
      </c>
      <c r="G80">
        <v>1252000</v>
      </c>
      <c r="J80">
        <v>7.9000000000000008E-3</v>
      </c>
      <c r="K80">
        <v>79</v>
      </c>
      <c r="L80">
        <f>IFERROR(Table1[[#This Row],[% change]]+J80,"")</f>
        <v>-0.68209999999999993</v>
      </c>
      <c r="M80">
        <f>IFERROR(Table1[[#This Row],[Volume]]*Table1[[#This Row],[Closing]]+J80,"")</f>
        <v>1802880.0079000001</v>
      </c>
    </row>
    <row r="81" spans="1:13" x14ac:dyDescent="0.25">
      <c r="A81" s="295" t="s">
        <v>763</v>
      </c>
      <c r="B81" s="296" t="s">
        <v>26</v>
      </c>
      <c r="C81" s="296" t="s">
        <v>93</v>
      </c>
      <c r="D81" s="296" t="s">
        <v>138</v>
      </c>
      <c r="E81">
        <v>108.3</v>
      </c>
      <c r="F81">
        <v>-0.28000000000000003</v>
      </c>
      <c r="G81">
        <v>4520</v>
      </c>
      <c r="J81">
        <v>8.0000000000000002E-3</v>
      </c>
      <c r="K81">
        <v>80</v>
      </c>
      <c r="L81">
        <f>IFERROR(Table1[[#This Row],[% change]]+J81,"")</f>
        <v>-0.27200000000000002</v>
      </c>
      <c r="M81">
        <f>IFERROR(Table1[[#This Row],[Volume]]*Table1[[#This Row],[Closing]]+J81,"")</f>
        <v>489516.00799999997</v>
      </c>
    </row>
    <row r="82" spans="1:13" x14ac:dyDescent="0.25">
      <c r="A82" s="295" t="s">
        <v>763</v>
      </c>
      <c r="B82" s="296" t="s">
        <v>391</v>
      </c>
      <c r="C82" s="296" t="s">
        <v>421</v>
      </c>
      <c r="D82" s="296" t="s">
        <v>138</v>
      </c>
      <c r="E82">
        <v>1.86</v>
      </c>
      <c r="F82">
        <v>2.2000000000000002</v>
      </c>
      <c r="G82">
        <v>5398000</v>
      </c>
      <c r="J82">
        <v>8.0999999999999996E-3</v>
      </c>
      <c r="K82">
        <v>81</v>
      </c>
      <c r="L82">
        <f>IFERROR(Table1[[#This Row],[% change]]+J82,"")</f>
        <v>2.2081000000000004</v>
      </c>
      <c r="M82">
        <f>IFERROR(Table1[[#This Row],[Volume]]*Table1[[#This Row],[Closing]]+J82,"")</f>
        <v>10040280.008099999</v>
      </c>
    </row>
    <row r="83" spans="1:13" x14ac:dyDescent="0.25">
      <c r="A83" s="295" t="s">
        <v>763</v>
      </c>
      <c r="B83" s="296" t="s">
        <v>392</v>
      </c>
      <c r="C83" s="296" t="s">
        <v>422</v>
      </c>
      <c r="D83" s="296" t="s">
        <v>138</v>
      </c>
      <c r="E83">
        <v>1</v>
      </c>
      <c r="F83">
        <v>-0.99</v>
      </c>
      <c r="G83">
        <v>4122000</v>
      </c>
      <c r="J83">
        <v>8.2000000000000007E-3</v>
      </c>
      <c r="K83">
        <v>82</v>
      </c>
      <c r="L83">
        <f>IFERROR(Table1[[#This Row],[% change]]+J83,"")</f>
        <v>-0.98180000000000001</v>
      </c>
      <c r="M83">
        <f>IFERROR(Table1[[#This Row],[Volume]]*Table1[[#This Row],[Closing]]+J83,"")</f>
        <v>4122000.0082</v>
      </c>
    </row>
    <row r="84" spans="1:13" x14ac:dyDescent="0.25">
      <c r="A84" s="295" t="s">
        <v>763</v>
      </c>
      <c r="B84" s="296" t="s">
        <v>513</v>
      </c>
      <c r="C84" s="296" t="s">
        <v>562</v>
      </c>
      <c r="D84" s="296" t="s">
        <v>138</v>
      </c>
      <c r="E84">
        <v>64.45</v>
      </c>
      <c r="F84">
        <v>0.7</v>
      </c>
      <c r="G84">
        <v>4070</v>
      </c>
      <c r="J84">
        <v>8.3000000000000001E-3</v>
      </c>
      <c r="K84">
        <v>83</v>
      </c>
      <c r="L84">
        <f>IFERROR(Table1[[#This Row],[% change]]+J84,"")</f>
        <v>0.70829999999999993</v>
      </c>
      <c r="M84">
        <f>IFERROR(Table1[[#This Row],[Volume]]*Table1[[#This Row],[Closing]]+J84,"")</f>
        <v>262311.50829999999</v>
      </c>
    </row>
    <row r="85" spans="1:13" x14ac:dyDescent="0.25">
      <c r="A85" s="295" t="s">
        <v>763</v>
      </c>
      <c r="B85" s="296" t="s">
        <v>393</v>
      </c>
      <c r="C85" s="296" t="s">
        <v>423</v>
      </c>
      <c r="D85" s="296" t="s">
        <v>138</v>
      </c>
      <c r="E85">
        <v>0.23100000000000001</v>
      </c>
      <c r="F85">
        <v>5.48</v>
      </c>
      <c r="G85">
        <v>2310000</v>
      </c>
      <c r="J85">
        <v>8.3999999999999995E-3</v>
      </c>
      <c r="K85">
        <v>84</v>
      </c>
      <c r="L85">
        <f>IFERROR(Table1[[#This Row],[% change]]+J85,"")</f>
        <v>5.4884000000000004</v>
      </c>
      <c r="M85">
        <f>IFERROR(Table1[[#This Row],[Volume]]*Table1[[#This Row],[Closing]]+J85,"")</f>
        <v>533610.00840000005</v>
      </c>
    </row>
    <row r="86" spans="1:13" x14ac:dyDescent="0.25">
      <c r="A86" s="295" t="s">
        <v>763</v>
      </c>
      <c r="B86" s="296" t="s">
        <v>27</v>
      </c>
      <c r="C86" s="296" t="s">
        <v>94</v>
      </c>
      <c r="D86" s="296" t="s">
        <v>138</v>
      </c>
      <c r="E86">
        <v>1.07</v>
      </c>
      <c r="F86">
        <v>0.94</v>
      </c>
      <c r="G86">
        <v>521000</v>
      </c>
      <c r="J86">
        <v>8.5000000000000006E-3</v>
      </c>
      <c r="K86">
        <v>85</v>
      </c>
      <c r="L86">
        <f>IFERROR(Table1[[#This Row],[% change]]+J86,"")</f>
        <v>0.9484999999999999</v>
      </c>
      <c r="M86">
        <f>IFERROR(Table1[[#This Row],[Volume]]*Table1[[#This Row],[Closing]]+J86,"")</f>
        <v>557470.0085</v>
      </c>
    </row>
    <row r="87" spans="1:13" x14ac:dyDescent="0.25">
      <c r="A87" s="295" t="s">
        <v>763</v>
      </c>
      <c r="B87" s="296" t="s">
        <v>28</v>
      </c>
      <c r="C87" s="296" t="s">
        <v>95</v>
      </c>
      <c r="D87" s="296" t="s">
        <v>138</v>
      </c>
      <c r="E87">
        <v>2032</v>
      </c>
      <c r="F87">
        <v>1.7</v>
      </c>
      <c r="G87">
        <v>21615</v>
      </c>
      <c r="J87">
        <v>8.6E-3</v>
      </c>
      <c r="K87">
        <v>86</v>
      </c>
      <c r="L87">
        <f>IFERROR(Table1[[#This Row],[% change]]+J87,"")</f>
        <v>1.7085999999999999</v>
      </c>
      <c r="M87">
        <f>IFERROR(Table1[[#This Row],[Volume]]*Table1[[#This Row],[Closing]]+J87,"")</f>
        <v>43921680.008599997</v>
      </c>
    </row>
    <row r="88" spans="1:13" x14ac:dyDescent="0.25">
      <c r="A88" s="295" t="s">
        <v>763</v>
      </c>
      <c r="B88" s="296" t="s">
        <v>29</v>
      </c>
      <c r="C88" s="296" t="s">
        <v>96</v>
      </c>
      <c r="D88" s="296" t="s">
        <v>138</v>
      </c>
      <c r="E88">
        <v>5.14</v>
      </c>
      <c r="F88">
        <v>0</v>
      </c>
      <c r="G88">
        <v>162200</v>
      </c>
      <c r="J88">
        <v>8.6999999999999994E-3</v>
      </c>
      <c r="K88">
        <v>87</v>
      </c>
      <c r="L88">
        <f>IFERROR(Table1[[#This Row],[% change]]+J88,"")</f>
        <v>8.6999999999999994E-3</v>
      </c>
      <c r="M88">
        <f>IFERROR(Table1[[#This Row],[Volume]]*Table1[[#This Row],[Closing]]+J88,"")</f>
        <v>833708.00870000001</v>
      </c>
    </row>
    <row r="89" spans="1:13" x14ac:dyDescent="0.25">
      <c r="A89" s="295" t="s">
        <v>763</v>
      </c>
      <c r="B89" s="296" t="s">
        <v>745</v>
      </c>
      <c r="C89" s="296" t="s">
        <v>755</v>
      </c>
      <c r="D89" s="296" t="s">
        <v>138</v>
      </c>
      <c r="E89">
        <v>4.95</v>
      </c>
      <c r="F89">
        <v>0</v>
      </c>
      <c r="G89">
        <v>45000</v>
      </c>
      <c r="J89">
        <v>8.8000000000000005E-3</v>
      </c>
      <c r="K89">
        <v>88</v>
      </c>
      <c r="L89">
        <f>IFERROR(Table1[[#This Row],[% change]]+J89,"")</f>
        <v>8.8000000000000005E-3</v>
      </c>
      <c r="M89">
        <f>IFERROR(Table1[[#This Row],[Volume]]*Table1[[#This Row],[Closing]]+J89,"")</f>
        <v>222750.00880000001</v>
      </c>
    </row>
    <row r="90" spans="1:13" x14ac:dyDescent="0.25">
      <c r="A90" s="295" t="s">
        <v>763</v>
      </c>
      <c r="B90" s="296" t="s">
        <v>606</v>
      </c>
      <c r="C90" s="296" t="s">
        <v>616</v>
      </c>
      <c r="D90" s="296" t="s">
        <v>138</v>
      </c>
      <c r="E90">
        <v>25.5</v>
      </c>
      <c r="F90">
        <v>-1.35</v>
      </c>
      <c r="G90">
        <v>7900</v>
      </c>
      <c r="J90">
        <v>8.8999999999999999E-3</v>
      </c>
      <c r="K90">
        <v>89</v>
      </c>
      <c r="L90">
        <f>IFERROR(Table1[[#This Row],[% change]]+J90,"")</f>
        <v>-1.3411000000000002</v>
      </c>
      <c r="M90">
        <f>IFERROR(Table1[[#This Row],[Volume]]*Table1[[#This Row],[Closing]]+J90,"")</f>
        <v>201450.00889999999</v>
      </c>
    </row>
    <row r="91" spans="1:13" x14ac:dyDescent="0.25">
      <c r="A91" s="295" t="s">
        <v>763</v>
      </c>
      <c r="B91" s="296" t="s">
        <v>30</v>
      </c>
      <c r="C91" s="296" t="s">
        <v>97</v>
      </c>
      <c r="D91" s="296" t="s">
        <v>138</v>
      </c>
      <c r="E91">
        <v>788</v>
      </c>
      <c r="F91">
        <v>1.68</v>
      </c>
      <c r="G91">
        <v>172460</v>
      </c>
      <c r="J91">
        <v>8.9999999999999993E-3</v>
      </c>
      <c r="K91">
        <v>90</v>
      </c>
      <c r="L91">
        <f>IFERROR(Table1[[#This Row],[% change]]+J91,"")</f>
        <v>1.6889999999999998</v>
      </c>
      <c r="M91">
        <f>IFERROR(Table1[[#This Row],[Volume]]*Table1[[#This Row],[Closing]]+J91,"")</f>
        <v>135898480.009</v>
      </c>
    </row>
    <row r="92" spans="1:13" x14ac:dyDescent="0.25">
      <c r="A92" s="295" t="s">
        <v>763</v>
      </c>
      <c r="B92" s="296" t="s">
        <v>514</v>
      </c>
      <c r="C92" s="296" t="s">
        <v>563</v>
      </c>
      <c r="D92" s="296" t="s">
        <v>138</v>
      </c>
      <c r="E92">
        <v>4.5599999999999996</v>
      </c>
      <c r="F92">
        <v>-7.32</v>
      </c>
      <c r="G92">
        <v>192000</v>
      </c>
      <c r="J92">
        <v>9.1000000000000004E-3</v>
      </c>
      <c r="K92">
        <v>91</v>
      </c>
      <c r="L92">
        <f>IFERROR(Table1[[#This Row],[% change]]+J92,"")</f>
        <v>-7.3109000000000002</v>
      </c>
      <c r="M92">
        <f>IFERROR(Table1[[#This Row],[Volume]]*Table1[[#This Row],[Closing]]+J92,"")</f>
        <v>875520.00909999991</v>
      </c>
    </row>
    <row r="93" spans="1:13" x14ac:dyDescent="0.25">
      <c r="A93" s="295" t="s">
        <v>763</v>
      </c>
      <c r="B93" s="296" t="s">
        <v>607</v>
      </c>
      <c r="C93" s="296" t="s">
        <v>617</v>
      </c>
      <c r="D93" s="296" t="s">
        <v>138</v>
      </c>
      <c r="E93">
        <v>5.95</v>
      </c>
      <c r="F93">
        <v>-1</v>
      </c>
      <c r="G93">
        <v>1800</v>
      </c>
      <c r="J93">
        <v>9.1999999999999998E-3</v>
      </c>
      <c r="K93">
        <v>92</v>
      </c>
      <c r="L93">
        <f>IFERROR(Table1[[#This Row],[% change]]+J93,"")</f>
        <v>-0.99080000000000001</v>
      </c>
      <c r="M93">
        <f>IFERROR(Table1[[#This Row],[Volume]]*Table1[[#This Row],[Closing]]+J93,"")</f>
        <v>10710.0092</v>
      </c>
    </row>
    <row r="94" spans="1:13" x14ac:dyDescent="0.25">
      <c r="A94" s="295" t="s">
        <v>763</v>
      </c>
      <c r="B94" s="296" t="s">
        <v>746</v>
      </c>
      <c r="C94" s="296" t="s">
        <v>756</v>
      </c>
      <c r="D94" s="296" t="s">
        <v>138</v>
      </c>
      <c r="E94">
        <v>6.5</v>
      </c>
      <c r="F94">
        <v>1.56</v>
      </c>
      <c r="G94">
        <v>13700</v>
      </c>
      <c r="J94">
        <v>9.2999999999999992E-3</v>
      </c>
      <c r="K94">
        <v>93</v>
      </c>
      <c r="L94">
        <f>IFERROR(Table1[[#This Row],[% change]]+J94,"")</f>
        <v>1.5693000000000001</v>
      </c>
      <c r="M94">
        <f>IFERROR(Table1[[#This Row],[Volume]]*Table1[[#This Row],[Closing]]+J94,"")</f>
        <v>89050.009300000005</v>
      </c>
    </row>
    <row r="95" spans="1:13" x14ac:dyDescent="0.25">
      <c r="A95" s="295" t="s">
        <v>763</v>
      </c>
      <c r="B95" s="296" t="s">
        <v>515</v>
      </c>
      <c r="C95" s="296" t="s">
        <v>564</v>
      </c>
      <c r="D95" s="296" t="s">
        <v>138</v>
      </c>
      <c r="E95">
        <v>7.01</v>
      </c>
      <c r="F95">
        <v>-0.56999999999999995</v>
      </c>
      <c r="G95">
        <v>48700</v>
      </c>
      <c r="J95">
        <v>9.4000000000000004E-3</v>
      </c>
      <c r="K95">
        <v>94</v>
      </c>
      <c r="L95">
        <f>IFERROR(Table1[[#This Row],[% change]]+J95,"")</f>
        <v>-0.56059999999999999</v>
      </c>
      <c r="M95">
        <f>IFERROR(Table1[[#This Row],[Volume]]*Table1[[#This Row],[Closing]]+J95,"")</f>
        <v>341387.00939999998</v>
      </c>
    </row>
    <row r="96" spans="1:13" x14ac:dyDescent="0.25">
      <c r="A96" s="295" t="s">
        <v>763</v>
      </c>
      <c r="B96" s="296" t="s">
        <v>516</v>
      </c>
      <c r="C96" s="296" t="s">
        <v>565</v>
      </c>
      <c r="D96" s="296" t="s">
        <v>138</v>
      </c>
      <c r="E96">
        <v>300.8</v>
      </c>
      <c r="F96">
        <v>-2.97</v>
      </c>
      <c r="G96">
        <v>3600</v>
      </c>
      <c r="J96">
        <v>9.4999999999999998E-3</v>
      </c>
      <c r="K96">
        <v>95</v>
      </c>
      <c r="L96">
        <f>IFERROR(Table1[[#This Row],[% change]]+J96,"")</f>
        <v>-2.9605000000000001</v>
      </c>
      <c r="M96">
        <f>IFERROR(Table1[[#This Row],[Volume]]*Table1[[#This Row],[Closing]]+J96,"")</f>
        <v>1082880.0094999999</v>
      </c>
    </row>
    <row r="97" spans="1:13" x14ac:dyDescent="0.25">
      <c r="A97" s="295" t="s">
        <v>763</v>
      </c>
      <c r="B97" s="296" t="s">
        <v>662</v>
      </c>
      <c r="C97" s="296" t="s">
        <v>665</v>
      </c>
      <c r="D97" s="296" t="s">
        <v>138</v>
      </c>
      <c r="E97">
        <v>1.58</v>
      </c>
      <c r="F97">
        <v>-4.24</v>
      </c>
      <c r="G97">
        <v>12000</v>
      </c>
      <c r="J97">
        <v>9.5999999999999992E-3</v>
      </c>
      <c r="K97">
        <v>96</v>
      </c>
      <c r="L97">
        <f>IFERROR(Table1[[#This Row],[% change]]+J97,"")</f>
        <v>-4.2304000000000004</v>
      </c>
      <c r="M97">
        <f>IFERROR(Table1[[#This Row],[Volume]]*Table1[[#This Row],[Closing]]+J97,"")</f>
        <v>18960.009600000001</v>
      </c>
    </row>
    <row r="98" spans="1:13" x14ac:dyDescent="0.25">
      <c r="A98" s="295" t="s">
        <v>763</v>
      </c>
      <c r="B98" s="296" t="s">
        <v>31</v>
      </c>
      <c r="C98" s="296" t="s">
        <v>98</v>
      </c>
      <c r="D98" s="296" t="s">
        <v>138</v>
      </c>
      <c r="E98">
        <v>93</v>
      </c>
      <c r="F98">
        <v>-0.21</v>
      </c>
      <c r="G98">
        <v>194530</v>
      </c>
      <c r="J98">
        <v>9.7000000000000003E-3</v>
      </c>
      <c r="K98">
        <v>97</v>
      </c>
      <c r="L98">
        <f>IFERROR(Table1[[#This Row],[% change]]+J98,"")</f>
        <v>-0.20029999999999998</v>
      </c>
      <c r="M98">
        <f>IFERROR(Table1[[#This Row],[Volume]]*Table1[[#This Row],[Closing]]+J98,"")</f>
        <v>18091290.0097</v>
      </c>
    </row>
    <row r="99" spans="1:13" x14ac:dyDescent="0.25">
      <c r="A99" s="295" t="s">
        <v>763</v>
      </c>
      <c r="B99" s="296" t="s">
        <v>32</v>
      </c>
      <c r="C99" s="296" t="s">
        <v>99</v>
      </c>
      <c r="D99" s="296" t="s">
        <v>138</v>
      </c>
      <c r="E99">
        <v>4.8099999999999996</v>
      </c>
      <c r="F99">
        <v>0.21</v>
      </c>
      <c r="G99">
        <v>411000</v>
      </c>
      <c r="J99">
        <v>9.7999999999999997E-3</v>
      </c>
      <c r="K99">
        <v>98</v>
      </c>
      <c r="L99">
        <f>IFERROR(Table1[[#This Row],[% change]]+J99,"")</f>
        <v>0.2198</v>
      </c>
      <c r="M99">
        <f>IFERROR(Table1[[#This Row],[Volume]]*Table1[[#This Row],[Closing]]+J99,"")</f>
        <v>1976910.0097999999</v>
      </c>
    </row>
    <row r="100" spans="1:13" x14ac:dyDescent="0.25">
      <c r="A100" s="295" t="s">
        <v>763</v>
      </c>
      <c r="B100" s="296" t="s">
        <v>33</v>
      </c>
      <c r="C100" s="296" t="s">
        <v>100</v>
      </c>
      <c r="D100" s="296" t="s">
        <v>138</v>
      </c>
      <c r="E100">
        <v>11.58</v>
      </c>
      <c r="F100">
        <v>-2.5299999999999998</v>
      </c>
      <c r="G100">
        <v>280600</v>
      </c>
      <c r="J100">
        <v>9.9000000000000008E-3</v>
      </c>
      <c r="K100">
        <v>99</v>
      </c>
      <c r="L100">
        <f>IFERROR(Table1[[#This Row],[% change]]+J100,"")</f>
        <v>-2.5200999999999998</v>
      </c>
      <c r="M100">
        <f>IFERROR(Table1[[#This Row],[Volume]]*Table1[[#This Row],[Closing]]+J100,"")</f>
        <v>3249348.0098999999</v>
      </c>
    </row>
    <row r="101" spans="1:13" x14ac:dyDescent="0.25">
      <c r="A101" s="295" t="s">
        <v>763</v>
      </c>
      <c r="B101" s="296" t="s">
        <v>717</v>
      </c>
      <c r="C101" s="296" t="s">
        <v>730</v>
      </c>
      <c r="D101" s="296" t="s">
        <v>138</v>
      </c>
      <c r="E101">
        <v>1.95</v>
      </c>
      <c r="F101">
        <v>-2.5</v>
      </c>
      <c r="G101">
        <v>21000</v>
      </c>
      <c r="J101">
        <v>0.01</v>
      </c>
      <c r="K101">
        <v>100</v>
      </c>
      <c r="L101">
        <f>IFERROR(Table1[[#This Row],[% change]]+J101,"")</f>
        <v>-2.4900000000000002</v>
      </c>
      <c r="M101">
        <f>IFERROR(Table1[[#This Row],[Volume]]*Table1[[#This Row],[Closing]]+J101,"")</f>
        <v>40950.01</v>
      </c>
    </row>
    <row r="102" spans="1:13" x14ac:dyDescent="0.25">
      <c r="A102" s="295" t="s">
        <v>763</v>
      </c>
      <c r="B102" s="296" t="s">
        <v>34</v>
      </c>
      <c r="C102" s="296" t="s">
        <v>101</v>
      </c>
      <c r="D102" s="296" t="s">
        <v>138</v>
      </c>
      <c r="E102">
        <v>1.74</v>
      </c>
      <c r="F102">
        <v>0.57999999999999996</v>
      </c>
      <c r="G102">
        <v>128000</v>
      </c>
      <c r="J102">
        <v>1.01E-2</v>
      </c>
      <c r="K102">
        <v>101</v>
      </c>
      <c r="L102">
        <f>IFERROR(Table1[[#This Row],[% change]]+J102,"")</f>
        <v>0.59009999999999996</v>
      </c>
      <c r="M102">
        <f>IFERROR(Table1[[#This Row],[Volume]]*Table1[[#This Row],[Closing]]+J102,"")</f>
        <v>222720.01010000001</v>
      </c>
    </row>
    <row r="103" spans="1:13" x14ac:dyDescent="0.25">
      <c r="A103" s="295" t="s">
        <v>763</v>
      </c>
      <c r="B103" s="296" t="s">
        <v>718</v>
      </c>
      <c r="C103" s="296" t="s">
        <v>731</v>
      </c>
      <c r="D103" s="296" t="s">
        <v>138</v>
      </c>
      <c r="E103">
        <v>12.5</v>
      </c>
      <c r="F103">
        <v>0.97</v>
      </c>
      <c r="G103">
        <v>100</v>
      </c>
      <c r="J103">
        <v>1.0200000000000001E-2</v>
      </c>
      <c r="K103">
        <v>102</v>
      </c>
      <c r="L103">
        <f>IFERROR(Table1[[#This Row],[% change]]+J103,"")</f>
        <v>0.98019999999999996</v>
      </c>
      <c r="M103">
        <f>IFERROR(Table1[[#This Row],[Volume]]*Table1[[#This Row],[Closing]]+J103,"")</f>
        <v>1250.0101999999999</v>
      </c>
    </row>
    <row r="104" spans="1:13" x14ac:dyDescent="0.25">
      <c r="A104" s="295" t="s">
        <v>763</v>
      </c>
      <c r="B104" s="296" t="s">
        <v>394</v>
      </c>
      <c r="C104" s="296" t="s">
        <v>424</v>
      </c>
      <c r="D104" s="296" t="s">
        <v>138</v>
      </c>
      <c r="E104">
        <v>2.66</v>
      </c>
      <c r="F104">
        <v>3.1</v>
      </c>
      <c r="G104">
        <v>32923000</v>
      </c>
      <c r="J104">
        <v>1.03E-2</v>
      </c>
      <c r="K104">
        <v>103</v>
      </c>
      <c r="L104">
        <f>IFERROR(Table1[[#This Row],[% change]]+J104,"")</f>
        <v>3.1103000000000001</v>
      </c>
      <c r="M104">
        <f>IFERROR(Table1[[#This Row],[Volume]]*Table1[[#This Row],[Closing]]+J104,"")</f>
        <v>87575180.010299996</v>
      </c>
    </row>
    <row r="105" spans="1:13" x14ac:dyDescent="0.25">
      <c r="A105" s="295" t="s">
        <v>763</v>
      </c>
      <c r="B105" s="296" t="s">
        <v>634</v>
      </c>
      <c r="C105" s="296" t="s">
        <v>646</v>
      </c>
      <c r="D105" s="296" t="s">
        <v>138</v>
      </c>
      <c r="E105">
        <v>0.108</v>
      </c>
      <c r="F105">
        <v>-0.92</v>
      </c>
      <c r="G105">
        <v>340000</v>
      </c>
      <c r="J105">
        <v>1.04E-2</v>
      </c>
      <c r="K105">
        <v>104</v>
      </c>
      <c r="L105">
        <f>IFERROR(Table1[[#This Row],[% change]]+J105,"")</f>
        <v>-0.90960000000000008</v>
      </c>
      <c r="M105">
        <f>IFERROR(Table1[[#This Row],[Volume]]*Table1[[#This Row],[Closing]]+J105,"")</f>
        <v>36720.010399999999</v>
      </c>
    </row>
    <row r="106" spans="1:13" x14ac:dyDescent="0.25">
      <c r="A106" s="295" t="s">
        <v>763</v>
      </c>
      <c r="B106" s="296" t="s">
        <v>608</v>
      </c>
      <c r="C106" s="296" t="s">
        <v>618</v>
      </c>
      <c r="D106" s="296" t="s">
        <v>138</v>
      </c>
      <c r="E106">
        <v>3.1</v>
      </c>
      <c r="F106">
        <v>2.31</v>
      </c>
      <c r="G106">
        <v>12000</v>
      </c>
      <c r="J106">
        <v>1.0500000000000001E-2</v>
      </c>
      <c r="K106">
        <v>105</v>
      </c>
      <c r="L106">
        <f>IFERROR(Table1[[#This Row],[% change]]+J106,"")</f>
        <v>2.3205</v>
      </c>
      <c r="M106">
        <f>IFERROR(Table1[[#This Row],[Volume]]*Table1[[#This Row],[Closing]]+J106,"")</f>
        <v>37200.010499999997</v>
      </c>
    </row>
    <row r="107" spans="1:13" x14ac:dyDescent="0.25">
      <c r="A107" s="295" t="s">
        <v>763</v>
      </c>
      <c r="B107" s="296" t="s">
        <v>35</v>
      </c>
      <c r="C107" s="296" t="s">
        <v>102</v>
      </c>
      <c r="D107" s="296" t="s">
        <v>138</v>
      </c>
      <c r="E107">
        <v>269.2</v>
      </c>
      <c r="F107">
        <v>-1.03</v>
      </c>
      <c r="G107">
        <v>480900</v>
      </c>
      <c r="J107">
        <v>1.06E-2</v>
      </c>
      <c r="K107">
        <v>106</v>
      </c>
      <c r="L107">
        <f>IFERROR(Table1[[#This Row],[% change]]+J107,"")</f>
        <v>-1.0194000000000001</v>
      </c>
      <c r="M107">
        <f>IFERROR(Table1[[#This Row],[Volume]]*Table1[[#This Row],[Closing]]+J107,"")</f>
        <v>129458280.0106</v>
      </c>
    </row>
    <row r="108" spans="1:13" x14ac:dyDescent="0.25">
      <c r="A108" s="295" t="s">
        <v>763</v>
      </c>
      <c r="B108" s="296" t="s">
        <v>36</v>
      </c>
      <c r="C108" s="296" t="s">
        <v>103</v>
      </c>
      <c r="D108" s="296" t="s">
        <v>138</v>
      </c>
      <c r="E108">
        <v>47.85</v>
      </c>
      <c r="F108">
        <v>-1.85</v>
      </c>
      <c r="G108">
        <v>221200</v>
      </c>
      <c r="J108">
        <v>1.0699999999999999E-2</v>
      </c>
      <c r="K108">
        <v>107</v>
      </c>
      <c r="L108">
        <f>IFERROR(Table1[[#This Row],[% change]]+J108,"")</f>
        <v>-1.8393000000000002</v>
      </c>
      <c r="M108">
        <f>IFERROR(Table1[[#This Row],[Volume]]*Table1[[#This Row],[Closing]]+J108,"")</f>
        <v>10584420.0107</v>
      </c>
    </row>
    <row r="109" spans="1:13" x14ac:dyDescent="0.25">
      <c r="A109" s="295" t="s">
        <v>763</v>
      </c>
      <c r="B109" s="296" t="s">
        <v>517</v>
      </c>
      <c r="C109" s="296" t="s">
        <v>566</v>
      </c>
      <c r="D109" s="296" t="s">
        <v>138</v>
      </c>
      <c r="E109">
        <v>0.109</v>
      </c>
      <c r="F109">
        <v>-2.68</v>
      </c>
      <c r="G109">
        <v>80000</v>
      </c>
      <c r="J109">
        <v>1.0800000000000001E-2</v>
      </c>
      <c r="K109">
        <v>108</v>
      </c>
      <c r="L109">
        <f>IFERROR(Table1[[#This Row],[% change]]+J109,"")</f>
        <v>-2.6692</v>
      </c>
      <c r="M109">
        <f>IFERROR(Table1[[#This Row],[Volume]]*Table1[[#This Row],[Closing]]+J109,"")</f>
        <v>8720.0108</v>
      </c>
    </row>
    <row r="110" spans="1:13" x14ac:dyDescent="0.25">
      <c r="A110" s="295" t="s">
        <v>763</v>
      </c>
      <c r="B110" s="296" t="s">
        <v>719</v>
      </c>
      <c r="C110" s="296" t="s">
        <v>732</v>
      </c>
      <c r="D110" s="296" t="s">
        <v>138</v>
      </c>
      <c r="E110">
        <v>0.112</v>
      </c>
      <c r="F110">
        <v>0</v>
      </c>
      <c r="G110">
        <v>440000</v>
      </c>
      <c r="J110">
        <v>1.09E-2</v>
      </c>
      <c r="K110">
        <v>109</v>
      </c>
      <c r="L110">
        <f>IFERROR(Table1[[#This Row],[% change]]+J110,"")</f>
        <v>1.09E-2</v>
      </c>
      <c r="M110">
        <f>IFERROR(Table1[[#This Row],[Volume]]*Table1[[#This Row],[Closing]]+J110,"")</f>
        <v>49280.010900000001</v>
      </c>
    </row>
    <row r="111" spans="1:13" x14ac:dyDescent="0.25">
      <c r="A111" s="295" t="s">
        <v>763</v>
      </c>
      <c r="B111" s="296" t="s">
        <v>687</v>
      </c>
      <c r="C111" s="296" t="s">
        <v>696</v>
      </c>
      <c r="D111" s="296" t="s">
        <v>138</v>
      </c>
      <c r="E111">
        <v>60</v>
      </c>
      <c r="F111">
        <v>33.33</v>
      </c>
      <c r="G111">
        <v>200</v>
      </c>
      <c r="J111">
        <v>1.0999999999999999E-2</v>
      </c>
      <c r="K111">
        <v>110</v>
      </c>
      <c r="L111">
        <f>IFERROR(Table1[[#This Row],[% change]]+J111,"")</f>
        <v>33.341000000000001</v>
      </c>
      <c r="M111">
        <f>IFERROR(Table1[[#This Row],[Volume]]*Table1[[#This Row],[Closing]]+J111,"")</f>
        <v>12000.011</v>
      </c>
    </row>
    <row r="112" spans="1:13" x14ac:dyDescent="0.25">
      <c r="A112" s="295" t="s">
        <v>763</v>
      </c>
      <c r="B112" s="296" t="s">
        <v>37</v>
      </c>
      <c r="C112" s="296" t="s">
        <v>104</v>
      </c>
      <c r="D112" s="296" t="s">
        <v>138</v>
      </c>
      <c r="E112">
        <v>0.54</v>
      </c>
      <c r="F112">
        <v>-1.82</v>
      </c>
      <c r="G112">
        <v>1064000</v>
      </c>
      <c r="J112">
        <v>1.11E-2</v>
      </c>
      <c r="K112">
        <v>111</v>
      </c>
      <c r="L112">
        <f>IFERROR(Table1[[#This Row],[% change]]+J112,"")</f>
        <v>-1.8089</v>
      </c>
      <c r="M112">
        <f>IFERROR(Table1[[#This Row],[Volume]]*Table1[[#This Row],[Closing]]+J112,"")</f>
        <v>574560.0111</v>
      </c>
    </row>
    <row r="113" spans="1:13" x14ac:dyDescent="0.25">
      <c r="A113" s="295" t="s">
        <v>763</v>
      </c>
      <c r="B113" s="296" t="s">
        <v>609</v>
      </c>
      <c r="C113" s="296" t="s">
        <v>619</v>
      </c>
      <c r="D113" s="296" t="s">
        <v>138</v>
      </c>
      <c r="E113">
        <v>4.8499999999999996</v>
      </c>
      <c r="F113">
        <v>1.25</v>
      </c>
      <c r="G113">
        <v>39000</v>
      </c>
      <c r="J113">
        <v>1.12E-2</v>
      </c>
      <c r="K113">
        <v>112</v>
      </c>
      <c r="L113">
        <f>IFERROR(Table1[[#This Row],[% change]]+J113,"")</f>
        <v>1.2612000000000001</v>
      </c>
      <c r="M113">
        <f>IFERROR(Table1[[#This Row],[Volume]]*Table1[[#This Row],[Closing]]+J113,"")</f>
        <v>189150.01120000001</v>
      </c>
    </row>
    <row r="114" spans="1:13" x14ac:dyDescent="0.25">
      <c r="A114" s="295" t="s">
        <v>763</v>
      </c>
      <c r="B114" s="296" t="s">
        <v>518</v>
      </c>
      <c r="C114" s="296" t="s">
        <v>567</v>
      </c>
      <c r="D114" s="296" t="s">
        <v>138</v>
      </c>
      <c r="E114">
        <v>10.7</v>
      </c>
      <c r="F114">
        <v>0</v>
      </c>
      <c r="G114">
        <v>1000</v>
      </c>
      <c r="J114">
        <v>1.1299999999999999E-2</v>
      </c>
      <c r="K114">
        <v>113</v>
      </c>
      <c r="L114">
        <f>IFERROR(Table1[[#This Row],[% change]]+J114,"")</f>
        <v>1.1299999999999999E-2</v>
      </c>
      <c r="M114">
        <f>IFERROR(Table1[[#This Row],[Volume]]*Table1[[#This Row],[Closing]]+J114,"")</f>
        <v>10700.0113</v>
      </c>
    </row>
    <row r="115" spans="1:13" x14ac:dyDescent="0.25">
      <c r="A115" s="295" t="s">
        <v>763</v>
      </c>
      <c r="B115" s="296" t="s">
        <v>519</v>
      </c>
      <c r="C115" s="296" t="s">
        <v>568</v>
      </c>
      <c r="D115" s="296" t="s">
        <v>138</v>
      </c>
      <c r="E115">
        <v>4.43</v>
      </c>
      <c r="F115">
        <v>0.45</v>
      </c>
      <c r="G115">
        <v>456000</v>
      </c>
      <c r="J115">
        <v>1.14E-2</v>
      </c>
      <c r="K115">
        <v>114</v>
      </c>
      <c r="L115">
        <f>IFERROR(Table1[[#This Row],[% change]]+J115,"")</f>
        <v>0.46140000000000003</v>
      </c>
      <c r="M115">
        <f>IFERROR(Table1[[#This Row],[Volume]]*Table1[[#This Row],[Closing]]+J115,"")</f>
        <v>2020080.0113999997</v>
      </c>
    </row>
    <row r="116" spans="1:13" x14ac:dyDescent="0.25">
      <c r="A116" s="295" t="s">
        <v>763</v>
      </c>
      <c r="B116" s="296" t="s">
        <v>38</v>
      </c>
      <c r="C116" s="296" t="s">
        <v>105</v>
      </c>
      <c r="D116" s="296" t="s">
        <v>138</v>
      </c>
      <c r="E116">
        <v>3.46</v>
      </c>
      <c r="F116">
        <v>-2.54</v>
      </c>
      <c r="G116">
        <v>488000</v>
      </c>
      <c r="J116">
        <v>1.15E-2</v>
      </c>
      <c r="K116">
        <v>115</v>
      </c>
      <c r="L116">
        <f>IFERROR(Table1[[#This Row],[% change]]+J116,"")</f>
        <v>-2.5285000000000002</v>
      </c>
      <c r="M116">
        <f>IFERROR(Table1[[#This Row],[Volume]]*Table1[[#This Row],[Closing]]+J116,"")</f>
        <v>1688480.0115</v>
      </c>
    </row>
    <row r="117" spans="1:13" x14ac:dyDescent="0.25">
      <c r="A117" s="295" t="s">
        <v>763</v>
      </c>
      <c r="B117" s="296" t="s">
        <v>610</v>
      </c>
      <c r="C117" s="296" t="s">
        <v>620</v>
      </c>
      <c r="D117" s="296" t="s">
        <v>138</v>
      </c>
      <c r="E117">
        <v>1.03</v>
      </c>
      <c r="F117">
        <v>0.98</v>
      </c>
      <c r="G117">
        <v>11000</v>
      </c>
      <c r="J117">
        <v>1.1599999999999999E-2</v>
      </c>
      <c r="K117">
        <v>116</v>
      </c>
      <c r="L117">
        <f>IFERROR(Table1[[#This Row],[% change]]+J117,"")</f>
        <v>0.99160000000000004</v>
      </c>
      <c r="M117">
        <f>IFERROR(Table1[[#This Row],[Volume]]*Table1[[#This Row],[Closing]]+J117,"")</f>
        <v>11330.0116</v>
      </c>
    </row>
    <row r="118" spans="1:13" x14ac:dyDescent="0.25">
      <c r="A118" s="295" t="s">
        <v>763</v>
      </c>
      <c r="B118" s="296" t="s">
        <v>39</v>
      </c>
      <c r="C118" s="296" t="s">
        <v>106</v>
      </c>
      <c r="D118" s="296" t="s">
        <v>138</v>
      </c>
      <c r="E118">
        <v>2.39</v>
      </c>
      <c r="F118">
        <v>-0.83</v>
      </c>
      <c r="G118">
        <v>319000</v>
      </c>
      <c r="J118">
        <v>1.17E-2</v>
      </c>
      <c r="K118">
        <v>117</v>
      </c>
      <c r="L118">
        <f>IFERROR(Table1[[#This Row],[% change]]+J118,"")</f>
        <v>-0.81829999999999992</v>
      </c>
      <c r="M118">
        <f>IFERROR(Table1[[#This Row],[Volume]]*Table1[[#This Row],[Closing]]+J118,"")</f>
        <v>762410.01170000003</v>
      </c>
    </row>
    <row r="119" spans="1:13" x14ac:dyDescent="0.25">
      <c r="A119" s="295" t="s">
        <v>763</v>
      </c>
      <c r="B119" s="296" t="s">
        <v>520</v>
      </c>
      <c r="C119" s="296" t="s">
        <v>569</v>
      </c>
      <c r="D119" s="296" t="s">
        <v>138</v>
      </c>
      <c r="E119">
        <v>0.85</v>
      </c>
      <c r="F119">
        <v>-1.1599999999999999</v>
      </c>
      <c r="G119">
        <v>31000</v>
      </c>
      <c r="J119">
        <v>1.18E-2</v>
      </c>
      <c r="K119">
        <v>118</v>
      </c>
      <c r="L119">
        <f>IFERROR(Table1[[#This Row],[% change]]+J119,"")</f>
        <v>-1.1481999999999999</v>
      </c>
      <c r="M119">
        <f>IFERROR(Table1[[#This Row],[Volume]]*Table1[[#This Row],[Closing]]+J119,"")</f>
        <v>26350.0118</v>
      </c>
    </row>
    <row r="120" spans="1:13" x14ac:dyDescent="0.25">
      <c r="A120" s="295" t="s">
        <v>763</v>
      </c>
      <c r="B120" s="296" t="s">
        <v>40</v>
      </c>
      <c r="C120" s="296" t="s">
        <v>107</v>
      </c>
      <c r="D120" s="296" t="s">
        <v>138</v>
      </c>
      <c r="E120">
        <v>13.88</v>
      </c>
      <c r="F120">
        <v>2.81</v>
      </c>
      <c r="G120">
        <v>9022400</v>
      </c>
      <c r="J120">
        <v>1.1900000000000001E-2</v>
      </c>
      <c r="K120">
        <v>119</v>
      </c>
      <c r="L120">
        <f>IFERROR(Table1[[#This Row],[% change]]+J120,"")</f>
        <v>2.8218999999999999</v>
      </c>
      <c r="M120">
        <f>IFERROR(Table1[[#This Row],[Volume]]*Table1[[#This Row],[Closing]]+J120,"")</f>
        <v>125230912.01189999</v>
      </c>
    </row>
    <row r="121" spans="1:13" x14ac:dyDescent="0.25">
      <c r="A121" s="295" t="s">
        <v>763</v>
      </c>
      <c r="B121" s="296" t="s">
        <v>395</v>
      </c>
      <c r="C121" s="296" t="s">
        <v>425</v>
      </c>
      <c r="D121" s="296" t="s">
        <v>138</v>
      </c>
      <c r="E121">
        <v>17.899999999999999</v>
      </c>
      <c r="F121">
        <v>-1.43</v>
      </c>
      <c r="G121">
        <v>893200</v>
      </c>
      <c r="J121">
        <v>1.2E-2</v>
      </c>
      <c r="K121">
        <v>120</v>
      </c>
      <c r="L121">
        <f>IFERROR(Table1[[#This Row],[% change]]+J121,"")</f>
        <v>-1.4179999999999999</v>
      </c>
      <c r="M121">
        <f>IFERROR(Table1[[#This Row],[Volume]]*Table1[[#This Row],[Closing]]+J121,"")</f>
        <v>15988280.011999998</v>
      </c>
    </row>
    <row r="122" spans="1:13" x14ac:dyDescent="0.25">
      <c r="A122" s="295" t="s">
        <v>763</v>
      </c>
      <c r="B122" s="296" t="s">
        <v>368</v>
      </c>
      <c r="C122" s="296" t="s">
        <v>570</v>
      </c>
      <c r="D122" s="296" t="s">
        <v>138</v>
      </c>
      <c r="E122">
        <v>1.35</v>
      </c>
      <c r="F122">
        <v>0.75</v>
      </c>
      <c r="G122">
        <v>20000</v>
      </c>
      <c r="J122">
        <v>1.21E-2</v>
      </c>
      <c r="K122">
        <v>121</v>
      </c>
      <c r="L122">
        <f>IFERROR(Table1[[#This Row],[% change]]+J122,"")</f>
        <v>0.7621</v>
      </c>
      <c r="M122">
        <f>IFERROR(Table1[[#This Row],[Volume]]*Table1[[#This Row],[Closing]]+J122,"")</f>
        <v>27000.0121</v>
      </c>
    </row>
    <row r="123" spans="1:13" x14ac:dyDescent="0.25">
      <c r="A123" s="295" t="s">
        <v>763</v>
      </c>
      <c r="B123" s="296" t="s">
        <v>707</v>
      </c>
      <c r="C123" s="296" t="s">
        <v>711</v>
      </c>
      <c r="D123" s="296" t="s">
        <v>138</v>
      </c>
      <c r="E123">
        <v>1.23</v>
      </c>
      <c r="F123">
        <v>-4.6500000000000004</v>
      </c>
      <c r="G123">
        <v>41000</v>
      </c>
      <c r="J123">
        <v>1.2200000000000001E-2</v>
      </c>
      <c r="K123">
        <v>122</v>
      </c>
      <c r="L123">
        <f>IFERROR(Table1[[#This Row],[% change]]+J123,"")</f>
        <v>-4.6378000000000004</v>
      </c>
      <c r="M123">
        <f>IFERROR(Table1[[#This Row],[Volume]]*Table1[[#This Row],[Closing]]+J123,"")</f>
        <v>50430.012199999997</v>
      </c>
    </row>
    <row r="124" spans="1:13" x14ac:dyDescent="0.25">
      <c r="A124" s="295" t="s">
        <v>763</v>
      </c>
      <c r="B124" s="296" t="s">
        <v>521</v>
      </c>
      <c r="C124" s="296" t="s">
        <v>571</v>
      </c>
      <c r="D124" s="296" t="s">
        <v>138</v>
      </c>
      <c r="E124">
        <v>11.2</v>
      </c>
      <c r="F124">
        <v>1.63</v>
      </c>
      <c r="G124">
        <v>21800</v>
      </c>
      <c r="J124">
        <v>1.23E-2</v>
      </c>
      <c r="K124">
        <v>123</v>
      </c>
      <c r="L124">
        <f>IFERROR(Table1[[#This Row],[% change]]+J124,"")</f>
        <v>1.6422999999999999</v>
      </c>
      <c r="M124">
        <f>IFERROR(Table1[[#This Row],[Volume]]*Table1[[#This Row],[Closing]]+J124,"")</f>
        <v>244160.01229999997</v>
      </c>
    </row>
    <row r="125" spans="1:13" x14ac:dyDescent="0.25">
      <c r="A125" s="295" t="s">
        <v>763</v>
      </c>
      <c r="B125" s="296" t="s">
        <v>41</v>
      </c>
      <c r="C125" s="296" t="s">
        <v>108</v>
      </c>
      <c r="D125" s="296" t="s">
        <v>138</v>
      </c>
      <c r="E125">
        <v>68.099999999999994</v>
      </c>
      <c r="F125">
        <v>-1.3</v>
      </c>
      <c r="G125">
        <v>1402680</v>
      </c>
      <c r="J125">
        <v>1.24E-2</v>
      </c>
      <c r="K125">
        <v>124</v>
      </c>
      <c r="L125">
        <f>IFERROR(Table1[[#This Row],[% change]]+J125,"")</f>
        <v>-1.2876000000000001</v>
      </c>
      <c r="M125">
        <f>IFERROR(Table1[[#This Row],[Volume]]*Table1[[#This Row],[Closing]]+J125,"")</f>
        <v>95522508.012399986</v>
      </c>
    </row>
    <row r="126" spans="1:13" x14ac:dyDescent="0.25">
      <c r="A126" s="295" t="s">
        <v>763</v>
      </c>
      <c r="B126" s="296" t="s">
        <v>635</v>
      </c>
      <c r="C126" s="296" t="s">
        <v>647</v>
      </c>
      <c r="D126" s="296" t="s">
        <v>138</v>
      </c>
      <c r="E126">
        <v>0.48499999999999999</v>
      </c>
      <c r="F126">
        <v>-1.02</v>
      </c>
      <c r="G126">
        <v>620000</v>
      </c>
      <c r="J126">
        <v>1.2500000000000001E-2</v>
      </c>
      <c r="K126">
        <v>125</v>
      </c>
      <c r="L126">
        <f>IFERROR(Table1[[#This Row],[% change]]+J126,"")</f>
        <v>-1.0075000000000001</v>
      </c>
      <c r="M126">
        <f>IFERROR(Table1[[#This Row],[Volume]]*Table1[[#This Row],[Closing]]+J126,"")</f>
        <v>300700.01250000001</v>
      </c>
    </row>
    <row r="127" spans="1:13" x14ac:dyDescent="0.25">
      <c r="A127" s="295" t="s">
        <v>763</v>
      </c>
      <c r="B127" s="296" t="s">
        <v>42</v>
      </c>
      <c r="C127" s="296" t="s">
        <v>109</v>
      </c>
      <c r="D127" s="296" t="s">
        <v>138</v>
      </c>
      <c r="E127">
        <v>4.45</v>
      </c>
      <c r="F127">
        <v>-1.1100000000000001</v>
      </c>
      <c r="G127">
        <v>5187000</v>
      </c>
      <c r="J127">
        <v>1.26E-2</v>
      </c>
      <c r="K127">
        <v>126</v>
      </c>
      <c r="L127">
        <f>IFERROR(Table1[[#This Row],[% change]]+J127,"")</f>
        <v>-1.0974000000000002</v>
      </c>
      <c r="M127">
        <f>IFERROR(Table1[[#This Row],[Volume]]*Table1[[#This Row],[Closing]]+J127,"")</f>
        <v>23082150.012600001</v>
      </c>
    </row>
    <row r="128" spans="1:13" x14ac:dyDescent="0.25">
      <c r="A128" s="295" t="s">
        <v>763</v>
      </c>
      <c r="B128" s="296" t="s">
        <v>43</v>
      </c>
      <c r="C128" s="296" t="s">
        <v>110</v>
      </c>
      <c r="D128" s="296" t="s">
        <v>138</v>
      </c>
      <c r="E128">
        <v>351</v>
      </c>
      <c r="F128">
        <v>-0.23</v>
      </c>
      <c r="G128">
        <v>77400</v>
      </c>
      <c r="J128">
        <v>1.2699999999999999E-2</v>
      </c>
      <c r="K128">
        <v>127</v>
      </c>
      <c r="L128">
        <f>IFERROR(Table1[[#This Row],[% change]]+J128,"")</f>
        <v>-0.21730000000000002</v>
      </c>
      <c r="M128">
        <f>IFERROR(Table1[[#This Row],[Volume]]*Table1[[#This Row],[Closing]]+J128,"")</f>
        <v>27167400.012699999</v>
      </c>
    </row>
    <row r="129" spans="1:13" x14ac:dyDescent="0.25">
      <c r="A129" s="295" t="s">
        <v>763</v>
      </c>
      <c r="B129" s="296" t="s">
        <v>663</v>
      </c>
      <c r="C129" s="296" t="s">
        <v>666</v>
      </c>
      <c r="D129" s="296" t="s">
        <v>138</v>
      </c>
      <c r="E129">
        <v>0.17899999999999999</v>
      </c>
      <c r="F129">
        <v>-0.56000000000000005</v>
      </c>
      <c r="G129">
        <v>190000</v>
      </c>
      <c r="J129">
        <v>1.2800000000000001E-2</v>
      </c>
      <c r="K129">
        <v>128</v>
      </c>
      <c r="L129">
        <f>IFERROR(Table1[[#This Row],[% change]]+J129,"")</f>
        <v>-0.54720000000000002</v>
      </c>
      <c r="M129">
        <f>IFERROR(Table1[[#This Row],[Volume]]*Table1[[#This Row],[Closing]]+J129,"")</f>
        <v>34010.012799999997</v>
      </c>
    </row>
    <row r="130" spans="1:13" x14ac:dyDescent="0.25">
      <c r="A130" s="295" t="s">
        <v>763</v>
      </c>
      <c r="B130" s="296" t="s">
        <v>522</v>
      </c>
      <c r="C130" s="296" t="s">
        <v>572</v>
      </c>
      <c r="D130" s="296" t="s">
        <v>138</v>
      </c>
      <c r="E130">
        <v>0.6</v>
      </c>
      <c r="F130">
        <v>15.38</v>
      </c>
      <c r="G130">
        <v>14540000</v>
      </c>
      <c r="J130">
        <v>1.29E-2</v>
      </c>
      <c r="K130">
        <v>129</v>
      </c>
      <c r="L130">
        <f>IFERROR(Table1[[#This Row],[% change]]+J130,"")</f>
        <v>15.392900000000001</v>
      </c>
      <c r="M130">
        <f>IFERROR(Table1[[#This Row],[Volume]]*Table1[[#This Row],[Closing]]+J130,"")</f>
        <v>8724000.0129000004</v>
      </c>
    </row>
    <row r="131" spans="1:13" x14ac:dyDescent="0.25">
      <c r="A131" s="295" t="s">
        <v>763</v>
      </c>
      <c r="B131" s="296" t="s">
        <v>523</v>
      </c>
      <c r="C131" s="296" t="s">
        <v>573</v>
      </c>
      <c r="D131" s="296" t="s">
        <v>138</v>
      </c>
      <c r="E131">
        <v>5.39</v>
      </c>
      <c r="F131">
        <v>0</v>
      </c>
      <c r="G131">
        <v>2200</v>
      </c>
      <c r="J131">
        <v>1.2999999999999999E-2</v>
      </c>
      <c r="K131">
        <v>130</v>
      </c>
      <c r="L131">
        <f>IFERROR(Table1[[#This Row],[% change]]+J131,"")</f>
        <v>1.2999999999999999E-2</v>
      </c>
      <c r="M131">
        <f>IFERROR(Table1[[#This Row],[Volume]]*Table1[[#This Row],[Closing]]+J131,"")</f>
        <v>11858.013000000001</v>
      </c>
    </row>
    <row r="132" spans="1:13" x14ac:dyDescent="0.25">
      <c r="A132" s="295" t="s">
        <v>763</v>
      </c>
      <c r="B132" s="296" t="s">
        <v>747</v>
      </c>
      <c r="C132" s="296" t="s">
        <v>757</v>
      </c>
      <c r="D132" s="296" t="s">
        <v>138</v>
      </c>
      <c r="E132">
        <v>3</v>
      </c>
      <c r="F132">
        <v>-9.64</v>
      </c>
      <c r="G132">
        <v>20000</v>
      </c>
      <c r="J132">
        <v>1.3100000000000001E-2</v>
      </c>
      <c r="K132">
        <v>131</v>
      </c>
      <c r="L132">
        <f>IFERROR(Table1[[#This Row],[% change]]+J132,"")</f>
        <v>-9.6269000000000009</v>
      </c>
      <c r="M132">
        <f>IFERROR(Table1[[#This Row],[Volume]]*Table1[[#This Row],[Closing]]+J132,"")</f>
        <v>60000.013099999996</v>
      </c>
    </row>
    <row r="133" spans="1:13" x14ac:dyDescent="0.25">
      <c r="A133" s="295" t="s">
        <v>763</v>
      </c>
      <c r="B133" s="296" t="s">
        <v>44</v>
      </c>
      <c r="C133" s="296" t="s">
        <v>111</v>
      </c>
      <c r="D133" s="296" t="s">
        <v>138</v>
      </c>
      <c r="E133">
        <v>4.93</v>
      </c>
      <c r="F133">
        <v>-2.38</v>
      </c>
      <c r="G133">
        <v>3014500</v>
      </c>
      <c r="J133">
        <v>1.32E-2</v>
      </c>
      <c r="K133">
        <v>132</v>
      </c>
      <c r="L133">
        <f>IFERROR(Table1[[#This Row],[% change]]+J133,"")</f>
        <v>-2.3668</v>
      </c>
      <c r="M133">
        <f>IFERROR(Table1[[#This Row],[Volume]]*Table1[[#This Row],[Closing]]+J133,"")</f>
        <v>14861485.0132</v>
      </c>
    </row>
    <row r="134" spans="1:13" x14ac:dyDescent="0.25">
      <c r="A134" s="295" t="s">
        <v>763</v>
      </c>
      <c r="B134" s="296" t="s">
        <v>45</v>
      </c>
      <c r="C134" s="296" t="s">
        <v>112</v>
      </c>
      <c r="D134" s="296" t="s">
        <v>138</v>
      </c>
      <c r="E134">
        <v>0.59</v>
      </c>
      <c r="F134">
        <v>-1.67</v>
      </c>
      <c r="G134">
        <v>24472000</v>
      </c>
      <c r="J134">
        <v>1.3299999999999999E-2</v>
      </c>
      <c r="K134">
        <v>133</v>
      </c>
      <c r="L134">
        <f>IFERROR(Table1[[#This Row],[% change]]+J134,"")</f>
        <v>-1.6566999999999998</v>
      </c>
      <c r="M134">
        <f>IFERROR(Table1[[#This Row],[Volume]]*Table1[[#This Row],[Closing]]+J134,"")</f>
        <v>14438480.0133</v>
      </c>
    </row>
    <row r="135" spans="1:13" x14ac:dyDescent="0.25">
      <c r="A135" s="295" t="s">
        <v>763</v>
      </c>
      <c r="B135" s="296" t="s">
        <v>259</v>
      </c>
      <c r="C135" s="296" t="s">
        <v>270</v>
      </c>
      <c r="D135" s="296" t="s">
        <v>138</v>
      </c>
      <c r="E135">
        <v>7.1</v>
      </c>
      <c r="F135">
        <v>-0.7</v>
      </c>
      <c r="G135">
        <v>3621900</v>
      </c>
      <c r="J135">
        <v>1.34E-2</v>
      </c>
      <c r="K135">
        <v>134</v>
      </c>
      <c r="L135">
        <f>IFERROR(Table1[[#This Row],[% change]]+J135,"")</f>
        <v>-0.68659999999999999</v>
      </c>
      <c r="M135">
        <f>IFERROR(Table1[[#This Row],[Volume]]*Table1[[#This Row],[Closing]]+J135,"")</f>
        <v>25715490.0134</v>
      </c>
    </row>
    <row r="136" spans="1:13" x14ac:dyDescent="0.25">
      <c r="A136" s="295" t="s">
        <v>763</v>
      </c>
      <c r="B136" s="296" t="s">
        <v>524</v>
      </c>
      <c r="C136" s="296" t="s">
        <v>574</v>
      </c>
      <c r="D136" s="296" t="s">
        <v>138</v>
      </c>
      <c r="E136">
        <v>2.25</v>
      </c>
      <c r="F136">
        <v>1.81</v>
      </c>
      <c r="G136">
        <v>323000</v>
      </c>
      <c r="J136">
        <v>1.35E-2</v>
      </c>
      <c r="K136">
        <v>135</v>
      </c>
      <c r="L136">
        <f>IFERROR(Table1[[#This Row],[% change]]+J136,"")</f>
        <v>1.8235000000000001</v>
      </c>
      <c r="M136">
        <f>IFERROR(Table1[[#This Row],[Volume]]*Table1[[#This Row],[Closing]]+J136,"")</f>
        <v>726750.0135</v>
      </c>
    </row>
    <row r="137" spans="1:13" x14ac:dyDescent="0.25">
      <c r="A137" s="295" t="s">
        <v>763</v>
      </c>
      <c r="B137" s="296" t="s">
        <v>525</v>
      </c>
      <c r="C137" s="296" t="s">
        <v>575</v>
      </c>
      <c r="D137" s="296" t="s">
        <v>138</v>
      </c>
      <c r="E137">
        <v>25.35</v>
      </c>
      <c r="F137">
        <v>0.8</v>
      </c>
      <c r="G137">
        <v>137600</v>
      </c>
      <c r="J137">
        <v>1.3599999999999999E-2</v>
      </c>
      <c r="K137">
        <v>136</v>
      </c>
      <c r="L137">
        <f>IFERROR(Table1[[#This Row],[% change]]+J137,"")</f>
        <v>0.81359999999999999</v>
      </c>
      <c r="M137">
        <f>IFERROR(Table1[[#This Row],[Volume]]*Table1[[#This Row],[Closing]]+J137,"")</f>
        <v>3488160.0136000002</v>
      </c>
    </row>
    <row r="138" spans="1:13" x14ac:dyDescent="0.25">
      <c r="A138" s="295" t="s">
        <v>763</v>
      </c>
      <c r="B138" s="296" t="s">
        <v>46</v>
      </c>
      <c r="C138" s="296" t="s">
        <v>113</v>
      </c>
      <c r="D138" s="296" t="s">
        <v>138</v>
      </c>
      <c r="E138">
        <v>17.079999999999998</v>
      </c>
      <c r="F138">
        <v>1.07</v>
      </c>
      <c r="G138">
        <v>6963700</v>
      </c>
      <c r="J138">
        <v>1.37E-2</v>
      </c>
      <c r="K138">
        <v>137</v>
      </c>
      <c r="L138">
        <f>IFERROR(Table1[[#This Row],[% change]]+J138,"")</f>
        <v>1.0837000000000001</v>
      </c>
      <c r="M138">
        <f>IFERROR(Table1[[#This Row],[Volume]]*Table1[[#This Row],[Closing]]+J138,"")</f>
        <v>118939996.01369998</v>
      </c>
    </row>
    <row r="139" spans="1:13" x14ac:dyDescent="0.25">
      <c r="A139" s="295" t="s">
        <v>763</v>
      </c>
      <c r="B139" s="296" t="s">
        <v>720</v>
      </c>
      <c r="C139" s="296" t="s">
        <v>733</v>
      </c>
      <c r="D139" s="296" t="s">
        <v>138</v>
      </c>
      <c r="E139">
        <v>99.8</v>
      </c>
      <c r="F139">
        <v>-0.2</v>
      </c>
      <c r="G139">
        <v>10560</v>
      </c>
      <c r="J139">
        <v>1.38E-2</v>
      </c>
      <c r="K139">
        <v>138</v>
      </c>
      <c r="L139">
        <f>IFERROR(Table1[[#This Row],[% change]]+J139,"")</f>
        <v>-0.1862</v>
      </c>
      <c r="M139">
        <f>IFERROR(Table1[[#This Row],[Volume]]*Table1[[#This Row],[Closing]]+J139,"")</f>
        <v>1053888.0138000001</v>
      </c>
    </row>
    <row r="140" spans="1:13" x14ac:dyDescent="0.25">
      <c r="A140" s="295" t="s">
        <v>763</v>
      </c>
      <c r="B140" s="296" t="s">
        <v>396</v>
      </c>
      <c r="C140" s="296" t="s">
        <v>426</v>
      </c>
      <c r="D140" s="296" t="s">
        <v>138</v>
      </c>
      <c r="E140">
        <v>1.07</v>
      </c>
      <c r="F140">
        <v>0.94</v>
      </c>
      <c r="G140">
        <v>3000</v>
      </c>
      <c r="J140">
        <v>1.3899999999999999E-2</v>
      </c>
      <c r="K140">
        <v>139</v>
      </c>
      <c r="L140">
        <f>IFERROR(Table1[[#This Row],[% change]]+J140,"")</f>
        <v>0.95389999999999997</v>
      </c>
      <c r="M140">
        <f>IFERROR(Table1[[#This Row],[Volume]]*Table1[[#This Row],[Closing]]+J140,"")</f>
        <v>3210.0138999999999</v>
      </c>
    </row>
    <row r="141" spans="1:13" x14ac:dyDescent="0.25">
      <c r="A141" s="295" t="s">
        <v>763</v>
      </c>
      <c r="B141" s="296" t="s">
        <v>397</v>
      </c>
      <c r="C141" s="296" t="s">
        <v>427</v>
      </c>
      <c r="D141" s="296" t="s">
        <v>138</v>
      </c>
      <c r="E141">
        <v>2.7</v>
      </c>
      <c r="F141">
        <v>-0.37</v>
      </c>
      <c r="G141">
        <v>844000</v>
      </c>
      <c r="J141">
        <v>1.4E-2</v>
      </c>
      <c r="K141">
        <v>140</v>
      </c>
      <c r="L141">
        <f>IFERROR(Table1[[#This Row],[% change]]+J141,"")</f>
        <v>-0.35599999999999998</v>
      </c>
      <c r="M141">
        <f>IFERROR(Table1[[#This Row],[Volume]]*Table1[[#This Row],[Closing]]+J141,"")</f>
        <v>2278800.014</v>
      </c>
    </row>
    <row r="142" spans="1:13" x14ac:dyDescent="0.25">
      <c r="A142" s="295" t="s">
        <v>763</v>
      </c>
      <c r="B142" s="296" t="s">
        <v>47</v>
      </c>
      <c r="C142" s="296" t="s">
        <v>114</v>
      </c>
      <c r="D142" s="296" t="s">
        <v>138</v>
      </c>
      <c r="E142">
        <v>5.21</v>
      </c>
      <c r="F142">
        <v>-4.93</v>
      </c>
      <c r="G142">
        <v>2643000</v>
      </c>
      <c r="J142">
        <v>1.41E-2</v>
      </c>
      <c r="K142">
        <v>141</v>
      </c>
      <c r="L142">
        <f>IFERROR(Table1[[#This Row],[% change]]+J142,"")</f>
        <v>-4.9158999999999997</v>
      </c>
      <c r="M142">
        <f>IFERROR(Table1[[#This Row],[Volume]]*Table1[[#This Row],[Closing]]+J142,"")</f>
        <v>13770030.0141</v>
      </c>
    </row>
    <row r="143" spans="1:13" x14ac:dyDescent="0.25">
      <c r="A143" s="295" t="s">
        <v>763</v>
      </c>
      <c r="B143" s="296" t="s">
        <v>721</v>
      </c>
      <c r="C143" s="296" t="s">
        <v>734</v>
      </c>
      <c r="D143" s="296" t="s">
        <v>138</v>
      </c>
      <c r="E143">
        <v>0.9</v>
      </c>
      <c r="F143">
        <v>-3.23</v>
      </c>
      <c r="G143">
        <v>75000</v>
      </c>
      <c r="J143">
        <v>1.4200000000000001E-2</v>
      </c>
      <c r="K143">
        <v>142</v>
      </c>
      <c r="L143">
        <f>IFERROR(Table1[[#This Row],[% change]]+J143,"")</f>
        <v>-3.2157999999999998</v>
      </c>
      <c r="M143">
        <f>IFERROR(Table1[[#This Row],[Volume]]*Table1[[#This Row],[Closing]]+J143,"")</f>
        <v>67500.014200000005</v>
      </c>
    </row>
    <row r="144" spans="1:13" x14ac:dyDescent="0.25">
      <c r="A144" s="295" t="s">
        <v>763</v>
      </c>
      <c r="B144" s="296" t="s">
        <v>636</v>
      </c>
      <c r="C144" s="296" t="s">
        <v>648</v>
      </c>
      <c r="D144" s="296" t="s">
        <v>138</v>
      </c>
      <c r="E144">
        <v>0.59</v>
      </c>
      <c r="F144">
        <v>-1.67</v>
      </c>
      <c r="G144">
        <v>119000</v>
      </c>
      <c r="J144">
        <v>1.43E-2</v>
      </c>
      <c r="K144">
        <v>143</v>
      </c>
      <c r="L144">
        <f>IFERROR(Table1[[#This Row],[% change]]+J144,"")</f>
        <v>-1.6556999999999999</v>
      </c>
      <c r="M144">
        <f>IFERROR(Table1[[#This Row],[Volume]]*Table1[[#This Row],[Closing]]+J144,"")</f>
        <v>70210.014299999995</v>
      </c>
    </row>
    <row r="145" spans="1:13" x14ac:dyDescent="0.25">
      <c r="A145" s="295" t="s">
        <v>763</v>
      </c>
      <c r="B145" s="296" t="s">
        <v>526</v>
      </c>
      <c r="C145" s="296" t="s">
        <v>576</v>
      </c>
      <c r="D145" s="296" t="s">
        <v>138</v>
      </c>
      <c r="E145">
        <v>1.2999999999999999E-2</v>
      </c>
      <c r="F145">
        <v>8.33</v>
      </c>
      <c r="G145">
        <v>15300000</v>
      </c>
      <c r="J145">
        <v>1.44E-2</v>
      </c>
      <c r="K145">
        <v>144</v>
      </c>
      <c r="L145">
        <f>IFERROR(Table1[[#This Row],[% change]]+J145,"")</f>
        <v>8.3444000000000003</v>
      </c>
      <c r="M145">
        <f>IFERROR(Table1[[#This Row],[Volume]]*Table1[[#This Row],[Closing]]+J145,"")</f>
        <v>198900.01439999999</v>
      </c>
    </row>
    <row r="146" spans="1:13" x14ac:dyDescent="0.25">
      <c r="A146" s="295" t="s">
        <v>763</v>
      </c>
      <c r="B146" s="296" t="s">
        <v>398</v>
      </c>
      <c r="C146" s="296" t="s">
        <v>428</v>
      </c>
      <c r="D146" s="296" t="s">
        <v>138</v>
      </c>
      <c r="E146">
        <v>1</v>
      </c>
      <c r="F146">
        <v>-2.91</v>
      </c>
      <c r="G146">
        <v>1193000</v>
      </c>
      <c r="J146">
        <v>1.4500000000000001E-2</v>
      </c>
      <c r="K146">
        <v>145</v>
      </c>
      <c r="L146">
        <f>IFERROR(Table1[[#This Row],[% change]]+J146,"")</f>
        <v>-2.8955000000000002</v>
      </c>
      <c r="M146">
        <f>IFERROR(Table1[[#This Row],[Volume]]*Table1[[#This Row],[Closing]]+J146,"")</f>
        <v>1193000.0145</v>
      </c>
    </row>
    <row r="147" spans="1:13" x14ac:dyDescent="0.25">
      <c r="A147" s="295" t="s">
        <v>763</v>
      </c>
      <c r="B147" s="296" t="s">
        <v>611</v>
      </c>
      <c r="C147" s="296" t="s">
        <v>621</v>
      </c>
      <c r="D147" s="296" t="s">
        <v>138</v>
      </c>
      <c r="E147">
        <v>1.2E-2</v>
      </c>
      <c r="F147">
        <v>0</v>
      </c>
      <c r="G147">
        <v>16800000</v>
      </c>
      <c r="J147">
        <v>1.46E-2</v>
      </c>
      <c r="K147">
        <v>146</v>
      </c>
      <c r="L147">
        <f>IFERROR(Table1[[#This Row],[% change]]+J147,"")</f>
        <v>1.46E-2</v>
      </c>
      <c r="M147">
        <f>IFERROR(Table1[[#This Row],[Volume]]*Table1[[#This Row],[Closing]]+J147,"")</f>
        <v>201600.01459999999</v>
      </c>
    </row>
    <row r="148" spans="1:13" x14ac:dyDescent="0.25">
      <c r="A148" s="295" t="s">
        <v>763</v>
      </c>
      <c r="B148" s="296" t="s">
        <v>399</v>
      </c>
      <c r="C148" s="296" t="s">
        <v>429</v>
      </c>
      <c r="D148" s="296" t="s">
        <v>138</v>
      </c>
      <c r="E148">
        <v>3.7999999999999999E-2</v>
      </c>
      <c r="F148">
        <v>0</v>
      </c>
      <c r="G148">
        <v>2100000</v>
      </c>
      <c r="J148">
        <v>1.47E-2</v>
      </c>
      <c r="K148">
        <v>147</v>
      </c>
      <c r="L148">
        <f>IFERROR(Table1[[#This Row],[% change]]+J148,"")</f>
        <v>1.47E-2</v>
      </c>
      <c r="M148">
        <f>IFERROR(Table1[[#This Row],[Volume]]*Table1[[#This Row],[Closing]]+J148,"")</f>
        <v>79800.0147</v>
      </c>
    </row>
    <row r="149" spans="1:13" x14ac:dyDescent="0.25">
      <c r="A149" s="295" t="s">
        <v>763</v>
      </c>
      <c r="B149" s="296" t="s">
        <v>527</v>
      </c>
      <c r="C149" s="296" t="s">
        <v>577</v>
      </c>
      <c r="D149" s="296" t="s">
        <v>138</v>
      </c>
      <c r="E149">
        <v>8.2899999999999991</v>
      </c>
      <c r="F149">
        <v>-1.19</v>
      </c>
      <c r="G149">
        <v>400</v>
      </c>
      <c r="J149">
        <v>1.4800000000000001E-2</v>
      </c>
      <c r="K149">
        <v>148</v>
      </c>
      <c r="L149">
        <f>IFERROR(Table1[[#This Row],[% change]]+J149,"")</f>
        <v>-1.1752</v>
      </c>
      <c r="M149">
        <f>IFERROR(Table1[[#This Row],[Volume]]*Table1[[#This Row],[Closing]]+J149,"")</f>
        <v>3316.0147999999995</v>
      </c>
    </row>
    <row r="150" spans="1:13" x14ac:dyDescent="0.25">
      <c r="A150" s="295" t="s">
        <v>763</v>
      </c>
      <c r="B150" s="296" t="s">
        <v>764</v>
      </c>
      <c r="C150" s="296" t="s">
        <v>765</v>
      </c>
      <c r="D150" s="296" t="s">
        <v>138</v>
      </c>
      <c r="E150">
        <v>19.899999999999999</v>
      </c>
      <c r="F150">
        <v>0.2</v>
      </c>
      <c r="G150">
        <v>1500</v>
      </c>
      <c r="J150">
        <v>1.49E-2</v>
      </c>
      <c r="K150">
        <v>149</v>
      </c>
      <c r="L150">
        <f>IFERROR(Table1[[#This Row],[% change]]+J150,"")</f>
        <v>0.21490000000000001</v>
      </c>
      <c r="M150">
        <f>IFERROR(Table1[[#This Row],[Volume]]*Table1[[#This Row],[Closing]]+J150,"")</f>
        <v>29850.014899999995</v>
      </c>
    </row>
    <row r="151" spans="1:13" x14ac:dyDescent="0.25">
      <c r="A151" s="295" t="s">
        <v>763</v>
      </c>
      <c r="B151" s="296" t="s">
        <v>48</v>
      </c>
      <c r="C151" s="296" t="s">
        <v>115</v>
      </c>
      <c r="D151" s="296" t="s">
        <v>138</v>
      </c>
      <c r="E151">
        <v>8.18</v>
      </c>
      <c r="F151">
        <v>-1.68</v>
      </c>
      <c r="G151">
        <v>1454200</v>
      </c>
      <c r="J151">
        <v>1.4999999999999999E-2</v>
      </c>
      <c r="K151">
        <v>150</v>
      </c>
      <c r="L151">
        <f>IFERROR(Table1[[#This Row],[% change]]+J151,"")</f>
        <v>-1.665</v>
      </c>
      <c r="M151">
        <f>IFERROR(Table1[[#This Row],[Volume]]*Table1[[#This Row],[Closing]]+J151,"")</f>
        <v>11895356.015000001</v>
      </c>
    </row>
    <row r="152" spans="1:13" x14ac:dyDescent="0.25">
      <c r="A152" s="295" t="s">
        <v>763</v>
      </c>
      <c r="B152" s="296" t="s">
        <v>688</v>
      </c>
      <c r="C152" s="296" t="s">
        <v>697</v>
      </c>
      <c r="D152" s="296" t="s">
        <v>138</v>
      </c>
      <c r="E152">
        <v>4.2699999999999996</v>
      </c>
      <c r="F152">
        <v>0.23</v>
      </c>
      <c r="G152">
        <v>40000</v>
      </c>
      <c r="J152">
        <v>1.5100000000000001E-2</v>
      </c>
      <c r="K152">
        <v>151</v>
      </c>
      <c r="L152">
        <f>IFERROR(Table1[[#This Row],[% change]]+J152,"")</f>
        <v>0.24510000000000001</v>
      </c>
      <c r="M152">
        <f>IFERROR(Table1[[#This Row],[Volume]]*Table1[[#This Row],[Closing]]+J152,"")</f>
        <v>170800.01509999996</v>
      </c>
    </row>
    <row r="153" spans="1:13" x14ac:dyDescent="0.25">
      <c r="A153" s="295" t="s">
        <v>763</v>
      </c>
      <c r="B153" s="296" t="s">
        <v>49</v>
      </c>
      <c r="C153" s="296" t="s">
        <v>117</v>
      </c>
      <c r="D153" s="296" t="s">
        <v>138</v>
      </c>
      <c r="E153">
        <v>41.25</v>
      </c>
      <c r="F153">
        <v>-1.67</v>
      </c>
      <c r="G153">
        <v>96800</v>
      </c>
      <c r="J153">
        <v>1.52E-2</v>
      </c>
      <c r="K153">
        <v>152</v>
      </c>
      <c r="L153">
        <f>IFERROR(Table1[[#This Row],[% change]]+J153,"")</f>
        <v>-1.6547999999999998</v>
      </c>
      <c r="M153">
        <f>IFERROR(Table1[[#This Row],[Volume]]*Table1[[#This Row],[Closing]]+J153,"")</f>
        <v>3993000.0151999998</v>
      </c>
    </row>
    <row r="154" spans="1:13" x14ac:dyDescent="0.25">
      <c r="A154" s="295" t="s">
        <v>763</v>
      </c>
      <c r="B154" s="296" t="s">
        <v>400</v>
      </c>
      <c r="C154" s="296" t="s">
        <v>430</v>
      </c>
      <c r="D154" s="296" t="s">
        <v>138</v>
      </c>
      <c r="E154">
        <v>0.35499999999999998</v>
      </c>
      <c r="F154">
        <v>2.9</v>
      </c>
      <c r="G154">
        <v>650000</v>
      </c>
      <c r="J154">
        <v>1.5299999999999999E-2</v>
      </c>
      <c r="K154">
        <v>153</v>
      </c>
      <c r="L154">
        <f>IFERROR(Table1[[#This Row],[% change]]+J154,"")</f>
        <v>2.9152999999999998</v>
      </c>
      <c r="M154">
        <f>IFERROR(Table1[[#This Row],[Volume]]*Table1[[#This Row],[Closing]]+J154,"")</f>
        <v>230750.0153</v>
      </c>
    </row>
    <row r="155" spans="1:13" x14ac:dyDescent="0.25">
      <c r="A155" s="295" t="s">
        <v>763</v>
      </c>
      <c r="B155" s="296" t="s">
        <v>528</v>
      </c>
      <c r="C155" s="296" t="s">
        <v>578</v>
      </c>
      <c r="D155" s="296" t="s">
        <v>138</v>
      </c>
      <c r="E155">
        <v>0.97</v>
      </c>
      <c r="F155">
        <v>0</v>
      </c>
      <c r="G155">
        <v>132000</v>
      </c>
      <c r="J155">
        <v>1.54E-2</v>
      </c>
      <c r="K155">
        <v>154</v>
      </c>
      <c r="L155">
        <f>IFERROR(Table1[[#This Row],[% change]]+J155,"")</f>
        <v>1.54E-2</v>
      </c>
      <c r="M155">
        <f>IFERROR(Table1[[#This Row],[Volume]]*Table1[[#This Row],[Closing]]+J155,"")</f>
        <v>128040.0154</v>
      </c>
    </row>
    <row r="156" spans="1:13" x14ac:dyDescent="0.25">
      <c r="A156" s="295" t="s">
        <v>763</v>
      </c>
      <c r="B156" s="296" t="s">
        <v>612</v>
      </c>
      <c r="C156" s="296" t="s">
        <v>622</v>
      </c>
      <c r="D156" s="296" t="s">
        <v>138</v>
      </c>
      <c r="E156">
        <v>0.42</v>
      </c>
      <c r="F156">
        <v>1.2</v>
      </c>
      <c r="G156">
        <v>570000</v>
      </c>
      <c r="J156">
        <v>1.55E-2</v>
      </c>
      <c r="K156">
        <v>155</v>
      </c>
      <c r="L156">
        <f>IFERROR(Table1[[#This Row],[% change]]+J156,"")</f>
        <v>1.2155</v>
      </c>
      <c r="M156">
        <f>IFERROR(Table1[[#This Row],[Volume]]*Table1[[#This Row],[Closing]]+J156,"")</f>
        <v>239400.01550000001</v>
      </c>
    </row>
    <row r="157" spans="1:13" x14ac:dyDescent="0.25">
      <c r="A157" s="295" t="s">
        <v>763</v>
      </c>
      <c r="B157" s="296" t="s">
        <v>529</v>
      </c>
      <c r="C157" s="296" t="s">
        <v>579</v>
      </c>
      <c r="D157" s="296" t="s">
        <v>138</v>
      </c>
      <c r="E157">
        <v>8.9499999999999993</v>
      </c>
      <c r="F157">
        <v>-0.78</v>
      </c>
      <c r="G157">
        <v>23600</v>
      </c>
      <c r="J157">
        <v>1.5599999999999999E-2</v>
      </c>
      <c r="K157">
        <v>156</v>
      </c>
      <c r="L157">
        <f>IFERROR(Table1[[#This Row],[% change]]+J157,"")</f>
        <v>-0.76440000000000008</v>
      </c>
      <c r="M157">
        <f>IFERROR(Table1[[#This Row],[Volume]]*Table1[[#This Row],[Closing]]+J157,"")</f>
        <v>211220.01559999998</v>
      </c>
    </row>
    <row r="158" spans="1:13" x14ac:dyDescent="0.25">
      <c r="A158" s="295" t="s">
        <v>763</v>
      </c>
      <c r="B158" s="296" t="s">
        <v>530</v>
      </c>
      <c r="C158" s="296" t="s">
        <v>580</v>
      </c>
      <c r="D158" s="296" t="s">
        <v>138</v>
      </c>
      <c r="E158">
        <v>1.66</v>
      </c>
      <c r="F158">
        <v>-2.35</v>
      </c>
      <c r="G158">
        <v>3358000</v>
      </c>
      <c r="J158">
        <v>1.5699999999999999E-2</v>
      </c>
      <c r="K158">
        <v>157</v>
      </c>
      <c r="L158">
        <f>IFERROR(Table1[[#This Row],[% change]]+J158,"")</f>
        <v>-2.3343000000000003</v>
      </c>
      <c r="M158">
        <f>IFERROR(Table1[[#This Row],[Volume]]*Table1[[#This Row],[Closing]]+J158,"")</f>
        <v>5574280.0157000003</v>
      </c>
    </row>
    <row r="159" spans="1:13" x14ac:dyDescent="0.25">
      <c r="A159" s="295" t="s">
        <v>763</v>
      </c>
      <c r="B159" s="296" t="s">
        <v>531</v>
      </c>
      <c r="C159" s="296" t="s">
        <v>581</v>
      </c>
      <c r="D159" s="296" t="s">
        <v>138</v>
      </c>
      <c r="E159">
        <v>11.18</v>
      </c>
      <c r="F159">
        <v>-1.06</v>
      </c>
      <c r="G159">
        <v>104100</v>
      </c>
      <c r="J159">
        <v>1.5800000000000002E-2</v>
      </c>
      <c r="K159">
        <v>158</v>
      </c>
      <c r="L159">
        <f>IFERROR(Table1[[#This Row],[% change]]+J159,"")</f>
        <v>-1.0442</v>
      </c>
      <c r="M159">
        <f>IFERROR(Table1[[#This Row],[Volume]]*Table1[[#This Row],[Closing]]+J159,"")</f>
        <v>1163838.0157999999</v>
      </c>
    </row>
    <row r="160" spans="1:13" x14ac:dyDescent="0.25">
      <c r="A160" s="295" t="s">
        <v>763</v>
      </c>
      <c r="B160" s="296" t="s">
        <v>50</v>
      </c>
      <c r="C160" s="296" t="s">
        <v>118</v>
      </c>
      <c r="D160" s="296" t="s">
        <v>138</v>
      </c>
      <c r="E160">
        <v>0.82</v>
      </c>
      <c r="F160">
        <v>-2.38</v>
      </c>
      <c r="G160">
        <v>1059000</v>
      </c>
      <c r="J160">
        <v>1.5900000000000001E-2</v>
      </c>
      <c r="K160">
        <v>159</v>
      </c>
      <c r="L160">
        <f>IFERROR(Table1[[#This Row],[% change]]+J160,"")</f>
        <v>-2.3641000000000001</v>
      </c>
      <c r="M160">
        <f>IFERROR(Table1[[#This Row],[Volume]]*Table1[[#This Row],[Closing]]+J160,"")</f>
        <v>868380.0159</v>
      </c>
    </row>
    <row r="161" spans="1:13" x14ac:dyDescent="0.25">
      <c r="A161" s="295" t="s">
        <v>763</v>
      </c>
      <c r="B161" s="296" t="s">
        <v>401</v>
      </c>
      <c r="C161" s="296" t="s">
        <v>431</v>
      </c>
      <c r="D161" s="296" t="s">
        <v>138</v>
      </c>
      <c r="E161">
        <v>41.6</v>
      </c>
      <c r="F161">
        <v>0.12</v>
      </c>
      <c r="G161">
        <v>38800</v>
      </c>
      <c r="J161">
        <v>1.6E-2</v>
      </c>
      <c r="K161">
        <v>160</v>
      </c>
      <c r="L161">
        <f>IFERROR(Table1[[#This Row],[% change]]+J161,"")</f>
        <v>0.13600000000000001</v>
      </c>
      <c r="M161">
        <f>IFERROR(Table1[[#This Row],[Volume]]*Table1[[#This Row],[Closing]]+J161,"")</f>
        <v>1614080.0160000001</v>
      </c>
    </row>
    <row r="162" spans="1:13" x14ac:dyDescent="0.25">
      <c r="A162" s="295" t="s">
        <v>763</v>
      </c>
      <c r="B162" s="296" t="s">
        <v>51</v>
      </c>
      <c r="C162" s="296" t="s">
        <v>119</v>
      </c>
      <c r="D162" s="296" t="s">
        <v>138</v>
      </c>
      <c r="E162">
        <v>10.5</v>
      </c>
      <c r="F162">
        <v>-2.78</v>
      </c>
      <c r="G162">
        <v>24500</v>
      </c>
      <c r="J162">
        <v>1.61E-2</v>
      </c>
      <c r="K162">
        <v>161</v>
      </c>
      <c r="L162">
        <f>IFERROR(Table1[[#This Row],[% change]]+J162,"")</f>
        <v>-2.7639</v>
      </c>
      <c r="M162">
        <f>IFERROR(Table1[[#This Row],[Volume]]*Table1[[#This Row],[Closing]]+J162,"")</f>
        <v>257250.01610000001</v>
      </c>
    </row>
    <row r="163" spans="1:13" x14ac:dyDescent="0.25">
      <c r="A163" s="295" t="s">
        <v>763</v>
      </c>
      <c r="B163" s="296" t="s">
        <v>689</v>
      </c>
      <c r="C163" s="296" t="s">
        <v>698</v>
      </c>
      <c r="D163" s="296" t="s">
        <v>138</v>
      </c>
      <c r="E163">
        <v>105</v>
      </c>
      <c r="F163">
        <v>2.74</v>
      </c>
      <c r="G163">
        <v>200</v>
      </c>
      <c r="J163">
        <v>1.6199999999999999E-2</v>
      </c>
      <c r="K163">
        <v>162</v>
      </c>
      <c r="L163">
        <f>IFERROR(Table1[[#This Row],[% change]]+J163,"")</f>
        <v>2.7562000000000002</v>
      </c>
      <c r="M163">
        <f>IFERROR(Table1[[#This Row],[Volume]]*Table1[[#This Row],[Closing]]+J163,"")</f>
        <v>21000.016199999998</v>
      </c>
    </row>
    <row r="164" spans="1:13" x14ac:dyDescent="0.25">
      <c r="A164" s="295" t="s">
        <v>763</v>
      </c>
      <c r="B164" s="296" t="s">
        <v>402</v>
      </c>
      <c r="C164" s="296" t="s">
        <v>432</v>
      </c>
      <c r="D164" s="296" t="s">
        <v>138</v>
      </c>
      <c r="E164">
        <v>2.39</v>
      </c>
      <c r="F164">
        <v>2.58</v>
      </c>
      <c r="G164">
        <v>205000</v>
      </c>
      <c r="J164">
        <v>1.6299999999999999E-2</v>
      </c>
      <c r="K164">
        <v>163</v>
      </c>
      <c r="L164">
        <f>IFERROR(Table1[[#This Row],[% change]]+J164,"")</f>
        <v>2.5963000000000003</v>
      </c>
      <c r="M164">
        <f>IFERROR(Table1[[#This Row],[Volume]]*Table1[[#This Row],[Closing]]+J164,"")</f>
        <v>489950.01630000002</v>
      </c>
    </row>
    <row r="165" spans="1:13" x14ac:dyDescent="0.25">
      <c r="A165" s="295" t="s">
        <v>763</v>
      </c>
      <c r="B165" s="296" t="s">
        <v>748</v>
      </c>
      <c r="C165" s="296" t="s">
        <v>758</v>
      </c>
      <c r="D165" s="296" t="s">
        <v>138</v>
      </c>
      <c r="E165">
        <v>5.7</v>
      </c>
      <c r="F165">
        <v>-2.56</v>
      </c>
      <c r="G165">
        <v>26500</v>
      </c>
      <c r="J165">
        <v>1.6400000000000001E-2</v>
      </c>
      <c r="K165">
        <v>164</v>
      </c>
      <c r="L165">
        <f>IFERROR(Table1[[#This Row],[% change]]+J165,"")</f>
        <v>-2.5436000000000001</v>
      </c>
      <c r="M165">
        <f>IFERROR(Table1[[#This Row],[Volume]]*Table1[[#This Row],[Closing]]+J165,"")</f>
        <v>151050.01639999999</v>
      </c>
    </row>
    <row r="166" spans="1:13" x14ac:dyDescent="0.25">
      <c r="A166" s="295" t="s">
        <v>763</v>
      </c>
      <c r="B166" s="296" t="s">
        <v>403</v>
      </c>
      <c r="C166" s="296" t="s">
        <v>433</v>
      </c>
      <c r="D166" s="296" t="s">
        <v>138</v>
      </c>
      <c r="E166">
        <v>4</v>
      </c>
      <c r="F166">
        <v>-4.76</v>
      </c>
      <c r="G166">
        <v>317000</v>
      </c>
      <c r="J166">
        <v>1.6500000000000001E-2</v>
      </c>
      <c r="K166">
        <v>165</v>
      </c>
      <c r="L166">
        <f>IFERROR(Table1[[#This Row],[% change]]+J166,"")</f>
        <v>-4.7435</v>
      </c>
      <c r="M166">
        <f>IFERROR(Table1[[#This Row],[Volume]]*Table1[[#This Row],[Closing]]+J166,"")</f>
        <v>1268000.0164999999</v>
      </c>
    </row>
    <row r="167" spans="1:13" x14ac:dyDescent="0.25">
      <c r="A167" s="295" t="s">
        <v>763</v>
      </c>
      <c r="B167" s="296" t="s">
        <v>690</v>
      </c>
      <c r="C167" s="296" t="s">
        <v>699</v>
      </c>
      <c r="D167" s="296" t="s">
        <v>138</v>
      </c>
      <c r="E167">
        <v>1000</v>
      </c>
      <c r="F167">
        <v>0</v>
      </c>
      <c r="G167">
        <v>15</v>
      </c>
      <c r="J167">
        <v>1.66E-2</v>
      </c>
      <c r="K167">
        <v>166</v>
      </c>
      <c r="L167">
        <f>IFERROR(Table1[[#This Row],[% change]]+J167,"")</f>
        <v>1.66E-2</v>
      </c>
      <c r="M167">
        <f>IFERROR(Table1[[#This Row],[Volume]]*Table1[[#This Row],[Closing]]+J167,"")</f>
        <v>15000.016600000001</v>
      </c>
    </row>
    <row r="168" spans="1:13" x14ac:dyDescent="0.25">
      <c r="A168" s="295" t="s">
        <v>763</v>
      </c>
      <c r="B168" s="296" t="s">
        <v>722</v>
      </c>
      <c r="C168" s="296" t="s">
        <v>735</v>
      </c>
      <c r="D168" s="296" t="s">
        <v>138</v>
      </c>
      <c r="E168">
        <v>1020</v>
      </c>
      <c r="F168">
        <v>0.1</v>
      </c>
      <c r="G168">
        <v>125</v>
      </c>
      <c r="J168">
        <v>1.67E-2</v>
      </c>
      <c r="K168">
        <v>167</v>
      </c>
      <c r="L168">
        <f>IFERROR(Table1[[#This Row],[% change]]+J168,"")</f>
        <v>0.1167</v>
      </c>
      <c r="M168">
        <f>IFERROR(Table1[[#This Row],[Volume]]*Table1[[#This Row],[Closing]]+J168,"")</f>
        <v>127500.01669999999</v>
      </c>
    </row>
    <row r="169" spans="1:13" x14ac:dyDescent="0.25">
      <c r="A169" s="295" t="s">
        <v>763</v>
      </c>
      <c r="B169" s="296" t="s">
        <v>708</v>
      </c>
      <c r="C169" s="296" t="s">
        <v>712</v>
      </c>
      <c r="D169" s="296" t="s">
        <v>138</v>
      </c>
      <c r="E169">
        <v>1.1599999999999999</v>
      </c>
      <c r="F169">
        <v>-4.13</v>
      </c>
      <c r="G169">
        <v>54000</v>
      </c>
      <c r="J169">
        <v>1.6799999999999999E-2</v>
      </c>
      <c r="K169">
        <v>168</v>
      </c>
      <c r="L169">
        <f>IFERROR(Table1[[#This Row],[% change]]+J169,"")</f>
        <v>-4.1132</v>
      </c>
      <c r="M169">
        <f>IFERROR(Table1[[#This Row],[Volume]]*Table1[[#This Row],[Closing]]+J169,"")</f>
        <v>62640.01679999999</v>
      </c>
    </row>
    <row r="170" spans="1:13" x14ac:dyDescent="0.25">
      <c r="A170" s="295" t="s">
        <v>763</v>
      </c>
      <c r="B170" s="296" t="s">
        <v>532</v>
      </c>
      <c r="C170" s="296" t="s">
        <v>582</v>
      </c>
      <c r="D170" s="296" t="s">
        <v>138</v>
      </c>
      <c r="E170">
        <v>3.2</v>
      </c>
      <c r="F170">
        <v>0.31</v>
      </c>
      <c r="G170">
        <v>798000</v>
      </c>
      <c r="J170">
        <v>1.6899999999999998E-2</v>
      </c>
      <c r="K170">
        <v>169</v>
      </c>
      <c r="L170">
        <f>IFERROR(Table1[[#This Row],[% change]]+J170,"")</f>
        <v>0.32689999999999997</v>
      </c>
      <c r="M170">
        <f>IFERROR(Table1[[#This Row],[Volume]]*Table1[[#This Row],[Closing]]+J170,"")</f>
        <v>2553600.0169000002</v>
      </c>
    </row>
    <row r="171" spans="1:13" x14ac:dyDescent="0.25">
      <c r="A171" s="295" t="s">
        <v>763</v>
      </c>
      <c r="B171" s="296" t="s">
        <v>533</v>
      </c>
      <c r="C171" s="296" t="s">
        <v>583</v>
      </c>
      <c r="D171" s="296" t="s">
        <v>138</v>
      </c>
      <c r="E171">
        <v>76.2</v>
      </c>
      <c r="F171">
        <v>-2.68</v>
      </c>
      <c r="G171">
        <v>2250</v>
      </c>
      <c r="J171">
        <v>1.7000000000000001E-2</v>
      </c>
      <c r="K171">
        <v>170</v>
      </c>
      <c r="L171">
        <f>IFERROR(Table1[[#This Row],[% change]]+J171,"")</f>
        <v>-2.6630000000000003</v>
      </c>
      <c r="M171">
        <f>IFERROR(Table1[[#This Row],[Volume]]*Table1[[#This Row],[Closing]]+J171,"")</f>
        <v>171450.01699999999</v>
      </c>
    </row>
    <row r="172" spans="1:13" x14ac:dyDescent="0.25">
      <c r="A172" s="295" t="s">
        <v>763</v>
      </c>
      <c r="B172" s="296" t="s">
        <v>52</v>
      </c>
      <c r="C172" s="296" t="s">
        <v>52</v>
      </c>
      <c r="D172" s="296" t="s">
        <v>138</v>
      </c>
      <c r="E172">
        <v>190</v>
      </c>
      <c r="F172">
        <v>0.05</v>
      </c>
      <c r="G172">
        <v>3400</v>
      </c>
      <c r="J172">
        <v>1.7100000000000001E-2</v>
      </c>
      <c r="K172">
        <v>171</v>
      </c>
      <c r="L172">
        <f>IFERROR(Table1[[#This Row],[% change]]+J172,"")</f>
        <v>6.7100000000000007E-2</v>
      </c>
      <c r="M172">
        <f>IFERROR(Table1[[#This Row],[Volume]]*Table1[[#This Row],[Closing]]+J172,"")</f>
        <v>646000.01710000006</v>
      </c>
    </row>
    <row r="173" spans="1:13" x14ac:dyDescent="0.25">
      <c r="A173" s="295" t="s">
        <v>763</v>
      </c>
      <c r="B173" s="296" t="s">
        <v>749</v>
      </c>
      <c r="C173" s="296" t="s">
        <v>759</v>
      </c>
      <c r="D173" s="296" t="s">
        <v>138</v>
      </c>
      <c r="E173">
        <v>102.4</v>
      </c>
      <c r="F173">
        <v>0</v>
      </c>
      <c r="G173">
        <v>600</v>
      </c>
      <c r="J173">
        <v>1.72E-2</v>
      </c>
      <c r="K173">
        <v>172</v>
      </c>
      <c r="L173">
        <f>IFERROR(Table1[[#This Row],[% change]]+J173,"")</f>
        <v>1.72E-2</v>
      </c>
      <c r="M173">
        <f>IFERROR(Table1[[#This Row],[Volume]]*Table1[[#This Row],[Closing]]+J173,"")</f>
        <v>61440.017200000002</v>
      </c>
    </row>
    <row r="174" spans="1:13" x14ac:dyDescent="0.25">
      <c r="A174" s="295" t="s">
        <v>763</v>
      </c>
      <c r="B174" s="296" t="s">
        <v>534</v>
      </c>
      <c r="C174" s="296" t="s">
        <v>584</v>
      </c>
      <c r="D174" s="296" t="s">
        <v>138</v>
      </c>
      <c r="E174">
        <v>3.28</v>
      </c>
      <c r="F174">
        <v>-3.81</v>
      </c>
      <c r="G174">
        <v>1919000</v>
      </c>
      <c r="J174">
        <v>1.7299999999999999E-2</v>
      </c>
      <c r="K174">
        <v>173</v>
      </c>
      <c r="L174">
        <f>IFERROR(Table1[[#This Row],[% change]]+J174,"")</f>
        <v>-3.7927</v>
      </c>
      <c r="M174">
        <f>IFERROR(Table1[[#This Row],[Volume]]*Table1[[#This Row],[Closing]]+J174,"")</f>
        <v>6294320.0173000004</v>
      </c>
    </row>
    <row r="175" spans="1:13" x14ac:dyDescent="0.25">
      <c r="A175" s="295" t="s">
        <v>763</v>
      </c>
      <c r="B175" s="296" t="s">
        <v>53</v>
      </c>
      <c r="C175" s="296" t="s">
        <v>120</v>
      </c>
      <c r="D175" s="296" t="s">
        <v>138</v>
      </c>
      <c r="E175">
        <v>16.3</v>
      </c>
      <c r="F175">
        <v>1.75</v>
      </c>
      <c r="G175">
        <v>844600</v>
      </c>
      <c r="J175">
        <v>1.7399999999999999E-2</v>
      </c>
      <c r="K175">
        <v>174</v>
      </c>
      <c r="L175">
        <f>IFERROR(Table1[[#This Row],[% change]]+J175,"")</f>
        <v>1.7674000000000001</v>
      </c>
      <c r="M175">
        <f>IFERROR(Table1[[#This Row],[Volume]]*Table1[[#This Row],[Closing]]+J175,"")</f>
        <v>13766980.0174</v>
      </c>
    </row>
    <row r="176" spans="1:13" x14ac:dyDescent="0.25">
      <c r="A176" s="295" t="s">
        <v>763</v>
      </c>
      <c r="B176" s="296" t="s">
        <v>535</v>
      </c>
      <c r="C176" s="296" t="s">
        <v>585</v>
      </c>
      <c r="D176" s="296" t="s">
        <v>138</v>
      </c>
      <c r="E176">
        <v>28</v>
      </c>
      <c r="F176">
        <v>-1.75</v>
      </c>
      <c r="G176">
        <v>4000</v>
      </c>
      <c r="J176">
        <v>1.7500000000000002E-2</v>
      </c>
      <c r="K176">
        <v>175</v>
      </c>
      <c r="L176">
        <f>IFERROR(Table1[[#This Row],[% change]]+J176,"")</f>
        <v>-1.7324999999999999</v>
      </c>
      <c r="M176">
        <f>IFERROR(Table1[[#This Row],[Volume]]*Table1[[#This Row],[Closing]]+J176,"")</f>
        <v>112000.0175</v>
      </c>
    </row>
    <row r="177" spans="1:13" x14ac:dyDescent="0.25">
      <c r="A177" s="295" t="s">
        <v>763</v>
      </c>
      <c r="B177" s="296" t="s">
        <v>404</v>
      </c>
      <c r="C177" s="296" t="s">
        <v>434</v>
      </c>
      <c r="D177" s="296" t="s">
        <v>138</v>
      </c>
      <c r="E177">
        <v>2.27</v>
      </c>
      <c r="F177">
        <v>-4.22</v>
      </c>
      <c r="G177">
        <v>236000</v>
      </c>
      <c r="J177">
        <v>1.7600000000000001E-2</v>
      </c>
      <c r="K177">
        <v>176</v>
      </c>
      <c r="L177">
        <f>IFERROR(Table1[[#This Row],[% change]]+J177,"")</f>
        <v>-4.2023999999999999</v>
      </c>
      <c r="M177">
        <f>IFERROR(Table1[[#This Row],[Volume]]*Table1[[#This Row],[Closing]]+J177,"")</f>
        <v>535720.01760000002</v>
      </c>
    </row>
    <row r="178" spans="1:13" x14ac:dyDescent="0.25">
      <c r="A178" s="295" t="s">
        <v>763</v>
      </c>
      <c r="B178" s="296" t="s">
        <v>673</v>
      </c>
      <c r="C178" s="296" t="s">
        <v>674</v>
      </c>
      <c r="D178" s="296" t="s">
        <v>138</v>
      </c>
      <c r="E178">
        <v>4.8</v>
      </c>
      <c r="F178">
        <v>0</v>
      </c>
      <c r="G178">
        <v>510000</v>
      </c>
      <c r="J178">
        <v>1.77E-2</v>
      </c>
      <c r="K178">
        <v>177</v>
      </c>
      <c r="L178">
        <f>IFERROR(Table1[[#This Row],[% change]]+J178,"")</f>
        <v>1.77E-2</v>
      </c>
      <c r="M178">
        <f>IFERROR(Table1[[#This Row],[Volume]]*Table1[[#This Row],[Closing]]+J178,"")</f>
        <v>2448000.0177000002</v>
      </c>
    </row>
    <row r="179" spans="1:13" x14ac:dyDescent="0.25">
      <c r="A179" s="295" t="s">
        <v>763</v>
      </c>
      <c r="B179" s="296" t="s">
        <v>54</v>
      </c>
      <c r="C179" s="296" t="s">
        <v>121</v>
      </c>
      <c r="D179" s="296" t="s">
        <v>138</v>
      </c>
      <c r="E179">
        <v>20.55</v>
      </c>
      <c r="F179">
        <v>-0.72</v>
      </c>
      <c r="G179">
        <v>691000</v>
      </c>
      <c r="J179">
        <v>1.78E-2</v>
      </c>
      <c r="K179">
        <v>178</v>
      </c>
      <c r="L179">
        <f>IFERROR(Table1[[#This Row],[% change]]+J179,"")</f>
        <v>-0.70219999999999994</v>
      </c>
      <c r="M179">
        <f>IFERROR(Table1[[#This Row],[Volume]]*Table1[[#This Row],[Closing]]+J179,"")</f>
        <v>14200050.0178</v>
      </c>
    </row>
    <row r="180" spans="1:13" x14ac:dyDescent="0.25">
      <c r="A180" s="295" t="s">
        <v>763</v>
      </c>
      <c r="B180" s="296" t="s">
        <v>536</v>
      </c>
      <c r="C180" s="296" t="s">
        <v>586</v>
      </c>
      <c r="D180" s="296" t="s">
        <v>138</v>
      </c>
      <c r="E180">
        <v>0.41</v>
      </c>
      <c r="F180">
        <v>-1.2</v>
      </c>
      <c r="G180">
        <v>1920000</v>
      </c>
      <c r="J180">
        <v>1.7899999999999999E-2</v>
      </c>
      <c r="K180">
        <v>179</v>
      </c>
      <c r="L180">
        <f>IFERROR(Table1[[#This Row],[% change]]+J180,"")</f>
        <v>-1.1820999999999999</v>
      </c>
      <c r="M180">
        <f>IFERROR(Table1[[#This Row],[Volume]]*Table1[[#This Row],[Closing]]+J180,"")</f>
        <v>787200.01789999998</v>
      </c>
    </row>
    <row r="181" spans="1:13" x14ac:dyDescent="0.25">
      <c r="A181" s="295" t="s">
        <v>763</v>
      </c>
      <c r="B181" s="296" t="s">
        <v>723</v>
      </c>
      <c r="C181" s="296" t="s">
        <v>736</v>
      </c>
      <c r="D181" s="296" t="s">
        <v>138</v>
      </c>
      <c r="E181">
        <v>2.83</v>
      </c>
      <c r="F181">
        <v>0</v>
      </c>
      <c r="G181">
        <v>8000</v>
      </c>
      <c r="J181">
        <v>1.7999999999999999E-2</v>
      </c>
      <c r="K181">
        <v>180</v>
      </c>
      <c r="L181">
        <f>IFERROR(Table1[[#This Row],[% change]]+J181,"")</f>
        <v>1.7999999999999999E-2</v>
      </c>
      <c r="M181">
        <f>IFERROR(Table1[[#This Row],[Volume]]*Table1[[#This Row],[Closing]]+J181,"")</f>
        <v>22640.018</v>
      </c>
    </row>
    <row r="182" spans="1:13" x14ac:dyDescent="0.25">
      <c r="A182" s="295" t="s">
        <v>763</v>
      </c>
      <c r="B182" s="296" t="s">
        <v>298</v>
      </c>
      <c r="C182" s="296" t="s">
        <v>299</v>
      </c>
      <c r="D182" s="296" t="s">
        <v>138</v>
      </c>
      <c r="E182">
        <v>77.5</v>
      </c>
      <c r="F182">
        <v>-1.77</v>
      </c>
      <c r="G182">
        <v>125650</v>
      </c>
      <c r="J182">
        <v>1.8100000000000002E-2</v>
      </c>
      <c r="K182">
        <v>181</v>
      </c>
      <c r="L182">
        <f>IFERROR(Table1[[#This Row],[% change]]+J182,"")</f>
        <v>-1.7519</v>
      </c>
      <c r="M182">
        <f>IFERROR(Table1[[#This Row],[Volume]]*Table1[[#This Row],[Closing]]+J182,"")</f>
        <v>9737875.0181000009</v>
      </c>
    </row>
    <row r="183" spans="1:13" x14ac:dyDescent="0.25">
      <c r="A183" s="295" t="s">
        <v>763</v>
      </c>
      <c r="B183" s="296" t="s">
        <v>55</v>
      </c>
      <c r="C183" s="296" t="s">
        <v>122</v>
      </c>
      <c r="D183" s="296" t="s">
        <v>138</v>
      </c>
      <c r="E183">
        <v>5.18</v>
      </c>
      <c r="F183">
        <v>-0.19</v>
      </c>
      <c r="G183">
        <v>470500</v>
      </c>
      <c r="J183">
        <v>1.8200000000000001E-2</v>
      </c>
      <c r="K183">
        <v>182</v>
      </c>
      <c r="L183">
        <f>IFERROR(Table1[[#This Row],[% change]]+J183,"")</f>
        <v>-0.17180000000000001</v>
      </c>
      <c r="M183">
        <f>IFERROR(Table1[[#This Row],[Volume]]*Table1[[#This Row],[Closing]]+J183,"")</f>
        <v>2437190.0181999998</v>
      </c>
    </row>
    <row r="184" spans="1:13" x14ac:dyDescent="0.25">
      <c r="A184" s="295" t="s">
        <v>763</v>
      </c>
      <c r="B184" s="296" t="s">
        <v>56</v>
      </c>
      <c r="C184" s="296" t="s">
        <v>123</v>
      </c>
      <c r="D184" s="296" t="s">
        <v>138</v>
      </c>
      <c r="E184">
        <v>6.77</v>
      </c>
      <c r="F184">
        <v>-5.97</v>
      </c>
      <c r="G184">
        <v>5200</v>
      </c>
      <c r="J184">
        <v>1.83E-2</v>
      </c>
      <c r="K184">
        <v>183</v>
      </c>
      <c r="L184">
        <f>IFERROR(Table1[[#This Row],[% change]]+J184,"")</f>
        <v>-5.9516999999999998</v>
      </c>
      <c r="M184">
        <f>IFERROR(Table1[[#This Row],[Volume]]*Table1[[#This Row],[Closing]]+J184,"")</f>
        <v>35204.018300000003</v>
      </c>
    </row>
    <row r="185" spans="1:13" x14ac:dyDescent="0.25">
      <c r="A185" s="295" t="s">
        <v>763</v>
      </c>
      <c r="B185" s="296" t="s">
        <v>57</v>
      </c>
      <c r="C185" s="296" t="s">
        <v>124</v>
      </c>
      <c r="D185" s="296" t="s">
        <v>138</v>
      </c>
      <c r="E185">
        <v>28.6</v>
      </c>
      <c r="F185">
        <v>0</v>
      </c>
      <c r="G185">
        <v>295000</v>
      </c>
      <c r="J185">
        <v>1.84E-2</v>
      </c>
      <c r="K185">
        <v>184</v>
      </c>
      <c r="L185">
        <f>IFERROR(Table1[[#This Row],[% change]]+J185,"")</f>
        <v>1.84E-2</v>
      </c>
      <c r="M185">
        <f>IFERROR(Table1[[#This Row],[Volume]]*Table1[[#This Row],[Closing]]+J185,"")</f>
        <v>8437000.0184000004</v>
      </c>
    </row>
    <row r="186" spans="1:13" x14ac:dyDescent="0.25">
      <c r="A186" s="295" t="s">
        <v>763</v>
      </c>
      <c r="B186" s="296" t="s">
        <v>58</v>
      </c>
      <c r="C186" s="296" t="s">
        <v>125</v>
      </c>
      <c r="D186" s="296" t="s">
        <v>138</v>
      </c>
      <c r="E186">
        <v>150.80000000000001</v>
      </c>
      <c r="F186">
        <v>-1.18</v>
      </c>
      <c r="G186">
        <v>511070</v>
      </c>
      <c r="J186">
        <v>1.8499999999999999E-2</v>
      </c>
      <c r="K186">
        <v>185</v>
      </c>
      <c r="L186">
        <f>IFERROR(Table1[[#This Row],[% change]]+J186,"")</f>
        <v>-1.1615</v>
      </c>
      <c r="M186">
        <f>IFERROR(Table1[[#This Row],[Volume]]*Table1[[#This Row],[Closing]]+J186,"")</f>
        <v>77069356.0185</v>
      </c>
    </row>
    <row r="187" spans="1:13" x14ac:dyDescent="0.25">
      <c r="A187" s="295" t="s">
        <v>763</v>
      </c>
      <c r="B187" s="296" t="s">
        <v>405</v>
      </c>
      <c r="C187" s="296" t="s">
        <v>435</v>
      </c>
      <c r="D187" s="296" t="s">
        <v>138</v>
      </c>
      <c r="E187">
        <v>106</v>
      </c>
      <c r="F187">
        <v>-3.46</v>
      </c>
      <c r="G187">
        <v>396060</v>
      </c>
      <c r="J187">
        <v>1.8599999999999998E-2</v>
      </c>
      <c r="K187">
        <v>186</v>
      </c>
      <c r="L187">
        <f>IFERROR(Table1[[#This Row],[% change]]+J187,"")</f>
        <v>-3.4413999999999998</v>
      </c>
      <c r="M187">
        <f>IFERROR(Table1[[#This Row],[Volume]]*Table1[[#This Row],[Closing]]+J187,"")</f>
        <v>41982360.018600002</v>
      </c>
    </row>
    <row r="188" spans="1:13" x14ac:dyDescent="0.25">
      <c r="A188" s="295" t="s">
        <v>763</v>
      </c>
      <c r="B188" s="296" t="s">
        <v>537</v>
      </c>
      <c r="C188" s="296" t="s">
        <v>587</v>
      </c>
      <c r="D188" s="296" t="s">
        <v>138</v>
      </c>
      <c r="E188">
        <v>1.4</v>
      </c>
      <c r="F188">
        <v>-1.41</v>
      </c>
      <c r="G188">
        <v>172000</v>
      </c>
      <c r="J188">
        <v>1.8700000000000001E-2</v>
      </c>
      <c r="K188">
        <v>187</v>
      </c>
      <c r="L188">
        <f>IFERROR(Table1[[#This Row],[% change]]+J188,"")</f>
        <v>-1.3913</v>
      </c>
      <c r="M188">
        <f>IFERROR(Table1[[#This Row],[Volume]]*Table1[[#This Row],[Closing]]+J188,"")</f>
        <v>240800.01869999996</v>
      </c>
    </row>
    <row r="189" spans="1:13" x14ac:dyDescent="0.25">
      <c r="A189" s="295" t="s">
        <v>763</v>
      </c>
      <c r="B189" s="296" t="s">
        <v>750</v>
      </c>
      <c r="C189" s="296" t="s">
        <v>760</v>
      </c>
      <c r="D189" s="296" t="s">
        <v>138</v>
      </c>
      <c r="E189">
        <v>400</v>
      </c>
      <c r="F189">
        <v>25</v>
      </c>
      <c r="G189">
        <v>10</v>
      </c>
      <c r="J189">
        <v>1.8800000000000001E-2</v>
      </c>
      <c r="K189">
        <v>188</v>
      </c>
      <c r="L189">
        <f>IFERROR(Table1[[#This Row],[% change]]+J189,"")</f>
        <v>25.018799999999999</v>
      </c>
      <c r="M189">
        <f>IFERROR(Table1[[#This Row],[Volume]]*Table1[[#This Row],[Closing]]+J189,"")</f>
        <v>4000.0187999999998</v>
      </c>
    </row>
    <row r="190" spans="1:13" x14ac:dyDescent="0.25">
      <c r="A190" s="295" t="s">
        <v>763</v>
      </c>
      <c r="B190" s="296" t="s">
        <v>406</v>
      </c>
      <c r="C190" s="296" t="s">
        <v>436</v>
      </c>
      <c r="D190" s="296" t="s">
        <v>138</v>
      </c>
      <c r="E190">
        <v>50.2</v>
      </c>
      <c r="F190">
        <v>-1.67</v>
      </c>
      <c r="G190">
        <v>322610</v>
      </c>
      <c r="J190">
        <v>1.89E-2</v>
      </c>
      <c r="K190">
        <v>189</v>
      </c>
      <c r="L190">
        <f>IFERROR(Table1[[#This Row],[% change]]+J190,"")</f>
        <v>-1.6511</v>
      </c>
      <c r="M190">
        <f>IFERROR(Table1[[#This Row],[Volume]]*Table1[[#This Row],[Closing]]+J190,"")</f>
        <v>16195022.0189</v>
      </c>
    </row>
    <row r="191" spans="1:13" x14ac:dyDescent="0.25">
      <c r="A191" s="295" t="s">
        <v>763</v>
      </c>
      <c r="B191" s="296" t="s">
        <v>538</v>
      </c>
      <c r="C191" s="296" t="s">
        <v>588</v>
      </c>
      <c r="D191" s="296" t="s">
        <v>138</v>
      </c>
      <c r="E191">
        <v>3.18</v>
      </c>
      <c r="F191">
        <v>2.25</v>
      </c>
      <c r="G191">
        <v>4000</v>
      </c>
      <c r="J191">
        <v>1.9E-2</v>
      </c>
      <c r="K191">
        <v>190</v>
      </c>
      <c r="L191">
        <f>IFERROR(Table1[[#This Row],[% change]]+J191,"")</f>
        <v>2.2690000000000001</v>
      </c>
      <c r="M191">
        <f>IFERROR(Table1[[#This Row],[Volume]]*Table1[[#This Row],[Closing]]+J191,"")</f>
        <v>12720.019</v>
      </c>
    </row>
    <row r="192" spans="1:13" x14ac:dyDescent="0.25">
      <c r="A192" s="295" t="s">
        <v>763</v>
      </c>
      <c r="B192" s="296" t="s">
        <v>637</v>
      </c>
      <c r="C192" s="296" t="s">
        <v>649</v>
      </c>
      <c r="D192" s="296" t="s">
        <v>138</v>
      </c>
      <c r="E192">
        <v>1830</v>
      </c>
      <c r="F192">
        <v>0.27</v>
      </c>
      <c r="G192">
        <v>5</v>
      </c>
      <c r="J192">
        <v>1.9099999999999999E-2</v>
      </c>
      <c r="K192">
        <v>191</v>
      </c>
      <c r="L192">
        <f>IFERROR(Table1[[#This Row],[% change]]+J192,"")</f>
        <v>0.28910000000000002</v>
      </c>
      <c r="M192">
        <f>IFERROR(Table1[[#This Row],[Volume]]*Table1[[#This Row],[Closing]]+J192,"")</f>
        <v>9150.0190999999995</v>
      </c>
    </row>
    <row r="193" spans="1:13" x14ac:dyDescent="0.25">
      <c r="A193" s="295" t="s">
        <v>763</v>
      </c>
      <c r="B193" s="296" t="s">
        <v>407</v>
      </c>
      <c r="C193" s="296" t="s">
        <v>437</v>
      </c>
      <c r="D193" s="296" t="s">
        <v>138</v>
      </c>
      <c r="E193">
        <v>1.1200000000000001</v>
      </c>
      <c r="F193">
        <v>0</v>
      </c>
      <c r="G193">
        <v>419000</v>
      </c>
      <c r="J193">
        <v>1.9199999999999998E-2</v>
      </c>
      <c r="K193">
        <v>192</v>
      </c>
      <c r="L193">
        <f>IFERROR(Table1[[#This Row],[% change]]+J193,"")</f>
        <v>1.9199999999999998E-2</v>
      </c>
      <c r="M193">
        <f>IFERROR(Table1[[#This Row],[Volume]]*Table1[[#This Row],[Closing]]+J193,"")</f>
        <v>469280.01920000004</v>
      </c>
    </row>
    <row r="194" spans="1:13" x14ac:dyDescent="0.25">
      <c r="A194" s="295" t="s">
        <v>763</v>
      </c>
      <c r="B194" s="296" t="s">
        <v>59</v>
      </c>
      <c r="C194" s="296" t="s">
        <v>126</v>
      </c>
      <c r="D194" s="296" t="s">
        <v>138</v>
      </c>
      <c r="E194">
        <v>882</v>
      </c>
      <c r="F194">
        <v>0.46</v>
      </c>
      <c r="G194">
        <v>200100</v>
      </c>
      <c r="J194">
        <v>1.9300000000000001E-2</v>
      </c>
      <c r="K194">
        <v>193</v>
      </c>
      <c r="L194">
        <f>IFERROR(Table1[[#This Row],[% change]]+J194,"")</f>
        <v>0.4793</v>
      </c>
      <c r="M194">
        <f>IFERROR(Table1[[#This Row],[Volume]]*Table1[[#This Row],[Closing]]+J194,"")</f>
        <v>176488200.01930001</v>
      </c>
    </row>
    <row r="195" spans="1:13" x14ac:dyDescent="0.25">
      <c r="A195" s="295" t="s">
        <v>763</v>
      </c>
      <c r="B195" s="296" t="s">
        <v>60</v>
      </c>
      <c r="C195" s="296" t="s">
        <v>127</v>
      </c>
      <c r="D195" s="296" t="s">
        <v>138</v>
      </c>
      <c r="E195">
        <v>156.9</v>
      </c>
      <c r="F195">
        <v>0.57999999999999996</v>
      </c>
      <c r="G195">
        <v>126330</v>
      </c>
      <c r="J195">
        <v>1.9400000000000001E-2</v>
      </c>
      <c r="K195">
        <v>194</v>
      </c>
      <c r="L195">
        <f>IFERROR(Table1[[#This Row],[% change]]+J195,"")</f>
        <v>0.59939999999999993</v>
      </c>
      <c r="M195">
        <f>IFERROR(Table1[[#This Row],[Volume]]*Table1[[#This Row],[Closing]]+J195,"")</f>
        <v>19821177.019400001</v>
      </c>
    </row>
    <row r="196" spans="1:13" x14ac:dyDescent="0.25">
      <c r="A196" s="295" t="s">
        <v>763</v>
      </c>
      <c r="B196" s="296" t="s">
        <v>638</v>
      </c>
      <c r="C196" s="296" t="s">
        <v>650</v>
      </c>
      <c r="D196" s="296" t="s">
        <v>138</v>
      </c>
      <c r="E196">
        <v>76</v>
      </c>
      <c r="F196">
        <v>-1.23</v>
      </c>
      <c r="G196">
        <v>74380</v>
      </c>
      <c r="J196">
        <v>1.95E-2</v>
      </c>
      <c r="K196">
        <v>195</v>
      </c>
      <c r="L196">
        <f>IFERROR(Table1[[#This Row],[% change]]+J196,"")</f>
        <v>-1.2104999999999999</v>
      </c>
      <c r="M196">
        <f>IFERROR(Table1[[#This Row],[Volume]]*Table1[[#This Row],[Closing]]+J196,"")</f>
        <v>5652880.0195000004</v>
      </c>
    </row>
    <row r="197" spans="1:13" x14ac:dyDescent="0.25">
      <c r="A197" s="295" t="s">
        <v>763</v>
      </c>
      <c r="B197" s="296" t="s">
        <v>639</v>
      </c>
      <c r="C197" s="296" t="s">
        <v>651</v>
      </c>
      <c r="D197" s="296" t="s">
        <v>138</v>
      </c>
      <c r="E197">
        <v>75</v>
      </c>
      <c r="F197">
        <v>0</v>
      </c>
      <c r="G197">
        <v>1100</v>
      </c>
      <c r="J197">
        <v>1.9599999999999999E-2</v>
      </c>
      <c r="K197">
        <v>196</v>
      </c>
      <c r="L197">
        <f>IFERROR(Table1[[#This Row],[% change]]+J197,"")</f>
        <v>1.9599999999999999E-2</v>
      </c>
      <c r="M197">
        <f>IFERROR(Table1[[#This Row],[Volume]]*Table1[[#This Row],[Closing]]+J197,"")</f>
        <v>82500.0196</v>
      </c>
    </row>
    <row r="198" spans="1:13" x14ac:dyDescent="0.25">
      <c r="A198" s="295" t="s">
        <v>763</v>
      </c>
      <c r="B198" s="296" t="s">
        <v>640</v>
      </c>
      <c r="C198" s="296" t="s">
        <v>652</v>
      </c>
      <c r="D198" s="296" t="s">
        <v>138</v>
      </c>
      <c r="E198">
        <v>74.7</v>
      </c>
      <c r="F198">
        <v>0</v>
      </c>
      <c r="G198">
        <v>76540</v>
      </c>
      <c r="J198">
        <v>1.9699999999999999E-2</v>
      </c>
      <c r="K198">
        <v>197</v>
      </c>
      <c r="L198">
        <f>IFERROR(Table1[[#This Row],[% change]]+J198,"")</f>
        <v>1.9699999999999999E-2</v>
      </c>
      <c r="M198">
        <f>IFERROR(Table1[[#This Row],[Volume]]*Table1[[#This Row],[Closing]]+J198,"")</f>
        <v>5717538.0197000001</v>
      </c>
    </row>
    <row r="199" spans="1:13" x14ac:dyDescent="0.25">
      <c r="A199" s="295" t="s">
        <v>763</v>
      </c>
      <c r="B199" s="296" t="s">
        <v>61</v>
      </c>
      <c r="C199" s="296" t="s">
        <v>128</v>
      </c>
      <c r="D199" s="296" t="s">
        <v>138</v>
      </c>
      <c r="E199">
        <v>34.15</v>
      </c>
      <c r="F199">
        <v>-2.15</v>
      </c>
      <c r="G199">
        <v>3923900</v>
      </c>
      <c r="J199">
        <v>1.9800000000000002E-2</v>
      </c>
      <c r="K199">
        <v>198</v>
      </c>
      <c r="L199">
        <f>IFERROR(Table1[[#This Row],[% change]]+J199,"")</f>
        <v>-2.1301999999999999</v>
      </c>
      <c r="M199">
        <f>IFERROR(Table1[[#This Row],[Volume]]*Table1[[#This Row],[Closing]]+J199,"")</f>
        <v>134001185.01980001</v>
      </c>
    </row>
    <row r="200" spans="1:13" x14ac:dyDescent="0.25">
      <c r="A200" s="295" t="s">
        <v>763</v>
      </c>
      <c r="B200" s="296" t="s">
        <v>539</v>
      </c>
      <c r="C200" s="296" t="s">
        <v>589</v>
      </c>
      <c r="D200" s="296" t="s">
        <v>138</v>
      </c>
      <c r="E200">
        <v>5.22</v>
      </c>
      <c r="F200">
        <v>0.38</v>
      </c>
      <c r="G200">
        <v>200700</v>
      </c>
      <c r="J200">
        <v>1.9900000000000001E-2</v>
      </c>
      <c r="K200">
        <v>199</v>
      </c>
      <c r="L200">
        <f>IFERROR(Table1[[#This Row],[% change]]+J200,"")</f>
        <v>0.39990000000000003</v>
      </c>
      <c r="M200">
        <f>IFERROR(Table1[[#This Row],[Volume]]*Table1[[#This Row],[Closing]]+J200,"")</f>
        <v>1047654.0199</v>
      </c>
    </row>
    <row r="201" spans="1:13" x14ac:dyDescent="0.25">
      <c r="A201" s="295" t="s">
        <v>763</v>
      </c>
      <c r="B201" s="296" t="s">
        <v>62</v>
      </c>
      <c r="C201" s="296" t="s">
        <v>129</v>
      </c>
      <c r="D201" s="296" t="s">
        <v>138</v>
      </c>
      <c r="E201">
        <v>2.62</v>
      </c>
      <c r="F201">
        <v>-1.5</v>
      </c>
      <c r="G201">
        <v>6724000</v>
      </c>
      <c r="J201">
        <v>0.02</v>
      </c>
      <c r="K201">
        <v>200</v>
      </c>
      <c r="L201">
        <f>IFERROR(Table1[[#This Row],[% change]]+J201,"")</f>
        <v>-1.48</v>
      </c>
      <c r="M201">
        <f>IFERROR(Table1[[#This Row],[Volume]]*Table1[[#This Row],[Closing]]+J201,"")</f>
        <v>17616880.02</v>
      </c>
    </row>
    <row r="202" spans="1:13" x14ac:dyDescent="0.25">
      <c r="A202" s="295" t="s">
        <v>763</v>
      </c>
      <c r="B202" s="296" t="s">
        <v>641</v>
      </c>
      <c r="C202" s="296" t="s">
        <v>653</v>
      </c>
      <c r="D202" s="296" t="s">
        <v>138</v>
      </c>
      <c r="E202">
        <v>1.6</v>
      </c>
      <c r="F202">
        <v>-2.44</v>
      </c>
      <c r="G202">
        <v>178000</v>
      </c>
      <c r="J202">
        <v>2.01E-2</v>
      </c>
      <c r="K202">
        <v>201</v>
      </c>
      <c r="L202">
        <f>IFERROR(Table1[[#This Row],[% change]]+J202,"")</f>
        <v>-2.4199000000000002</v>
      </c>
      <c r="M202">
        <f>IFERROR(Table1[[#This Row],[Volume]]*Table1[[#This Row],[Closing]]+J202,"")</f>
        <v>284800.02010000002</v>
      </c>
    </row>
    <row r="203" spans="1:13" x14ac:dyDescent="0.25">
      <c r="A203" s="295" t="s">
        <v>763</v>
      </c>
      <c r="B203" s="296" t="s">
        <v>408</v>
      </c>
      <c r="C203" s="296" t="s">
        <v>438</v>
      </c>
      <c r="D203" s="296" t="s">
        <v>138</v>
      </c>
      <c r="E203">
        <v>0.79</v>
      </c>
      <c r="F203">
        <v>-1.25</v>
      </c>
      <c r="G203">
        <v>1750000</v>
      </c>
      <c r="J203">
        <v>2.0199999999999999E-2</v>
      </c>
      <c r="K203">
        <v>202</v>
      </c>
      <c r="L203">
        <f>IFERROR(Table1[[#This Row],[% change]]+J203,"")</f>
        <v>-1.2298</v>
      </c>
      <c r="M203">
        <f>IFERROR(Table1[[#This Row],[Volume]]*Table1[[#This Row],[Closing]]+J203,"")</f>
        <v>1382500.0201999999</v>
      </c>
    </row>
    <row r="204" spans="1:13" x14ac:dyDescent="0.25">
      <c r="A204" s="295" t="s">
        <v>763</v>
      </c>
      <c r="B204" s="296" t="s">
        <v>168</v>
      </c>
      <c r="C204" s="296" t="s">
        <v>271</v>
      </c>
      <c r="D204" s="296" t="s">
        <v>138</v>
      </c>
      <c r="E204">
        <v>5.94</v>
      </c>
      <c r="F204">
        <v>-0.34</v>
      </c>
      <c r="G204">
        <v>157400</v>
      </c>
      <c r="J204">
        <v>2.0299999999999999E-2</v>
      </c>
      <c r="K204">
        <v>203</v>
      </c>
      <c r="L204">
        <f>IFERROR(Table1[[#This Row],[% change]]+J204,"")</f>
        <v>-0.31970000000000004</v>
      </c>
      <c r="M204">
        <f>IFERROR(Table1[[#This Row],[Volume]]*Table1[[#This Row],[Closing]]+J204,"")</f>
        <v>934956.02030000009</v>
      </c>
    </row>
    <row r="205" spans="1:13" x14ac:dyDescent="0.25">
      <c r="A205" s="295" t="s">
        <v>763</v>
      </c>
      <c r="B205" s="296" t="s">
        <v>691</v>
      </c>
      <c r="C205" s="296" t="s">
        <v>700</v>
      </c>
      <c r="D205" s="296" t="s">
        <v>138</v>
      </c>
      <c r="E205">
        <v>0.75</v>
      </c>
      <c r="F205">
        <v>0</v>
      </c>
      <c r="G205">
        <v>25000</v>
      </c>
      <c r="J205">
        <v>2.0400000000000001E-2</v>
      </c>
      <c r="K205">
        <v>204</v>
      </c>
      <c r="L205">
        <f>IFERROR(Table1[[#This Row],[% change]]+J205,"")</f>
        <v>2.0400000000000001E-2</v>
      </c>
      <c r="M205">
        <f>IFERROR(Table1[[#This Row],[Volume]]*Table1[[#This Row],[Closing]]+J205,"")</f>
        <v>18750.020400000001</v>
      </c>
    </row>
    <row r="206" spans="1:13" x14ac:dyDescent="0.25">
      <c r="A206" s="295" t="s">
        <v>763</v>
      </c>
      <c r="B206" s="296" t="s">
        <v>540</v>
      </c>
      <c r="C206" s="296" t="s">
        <v>590</v>
      </c>
      <c r="D206" s="296" t="s">
        <v>138</v>
      </c>
      <c r="E206">
        <v>0.95</v>
      </c>
      <c r="F206">
        <v>-1.04</v>
      </c>
      <c r="G206">
        <v>7000</v>
      </c>
      <c r="J206">
        <v>2.0500000000000001E-2</v>
      </c>
      <c r="K206">
        <v>205</v>
      </c>
      <c r="L206">
        <f>IFERROR(Table1[[#This Row],[% change]]+J206,"")</f>
        <v>-1.0195000000000001</v>
      </c>
      <c r="M206">
        <f>IFERROR(Table1[[#This Row],[Volume]]*Table1[[#This Row],[Closing]]+J206,"")</f>
        <v>6650.0204999999996</v>
      </c>
    </row>
    <row r="207" spans="1:13" x14ac:dyDescent="0.25">
      <c r="A207" s="295" t="s">
        <v>763</v>
      </c>
      <c r="B207" s="296" t="s">
        <v>260</v>
      </c>
      <c r="C207" s="296" t="s">
        <v>272</v>
      </c>
      <c r="D207" s="296" t="s">
        <v>138</v>
      </c>
      <c r="E207">
        <v>0.56999999999999995</v>
      </c>
      <c r="F207">
        <v>7.55</v>
      </c>
      <c r="G207">
        <v>47920000</v>
      </c>
      <c r="J207">
        <v>2.06E-2</v>
      </c>
      <c r="K207">
        <v>206</v>
      </c>
      <c r="L207">
        <f>IFERROR(Table1[[#This Row],[% change]]+J207,"")</f>
        <v>7.5705999999999998</v>
      </c>
      <c r="M207">
        <f>IFERROR(Table1[[#This Row],[Volume]]*Table1[[#This Row],[Closing]]+J207,"")</f>
        <v>27314400.020599995</v>
      </c>
    </row>
    <row r="208" spans="1:13" x14ac:dyDescent="0.25">
      <c r="A208" s="295" t="s">
        <v>763</v>
      </c>
      <c r="B208" s="296" t="s">
        <v>63</v>
      </c>
      <c r="C208" s="296" t="s">
        <v>130</v>
      </c>
      <c r="D208" s="296" t="s">
        <v>138</v>
      </c>
      <c r="E208">
        <v>36.75</v>
      </c>
      <c r="F208">
        <v>0.68</v>
      </c>
      <c r="G208">
        <v>107900</v>
      </c>
      <c r="J208">
        <v>2.07E-2</v>
      </c>
      <c r="K208">
        <v>207</v>
      </c>
      <c r="L208">
        <f>IFERROR(Table1[[#This Row],[% change]]+J208,"")</f>
        <v>0.7007000000000001</v>
      </c>
      <c r="M208">
        <f>IFERROR(Table1[[#This Row],[Volume]]*Table1[[#This Row],[Closing]]+J208,"")</f>
        <v>3965325.0207000002</v>
      </c>
    </row>
    <row r="209" spans="1:13" x14ac:dyDescent="0.25">
      <c r="A209" s="295" t="s">
        <v>763</v>
      </c>
      <c r="B209" s="296" t="s">
        <v>64</v>
      </c>
      <c r="C209" s="296" t="s">
        <v>131</v>
      </c>
      <c r="D209" s="296" t="s">
        <v>138</v>
      </c>
      <c r="E209">
        <v>1400</v>
      </c>
      <c r="F209">
        <v>-0.78</v>
      </c>
      <c r="G209">
        <v>24060</v>
      </c>
      <c r="J209">
        <v>2.0799999999999999E-2</v>
      </c>
      <c r="K209">
        <v>208</v>
      </c>
      <c r="L209">
        <f>IFERROR(Table1[[#This Row],[% change]]+J209,"")</f>
        <v>-0.75919999999999999</v>
      </c>
      <c r="M209">
        <f>IFERROR(Table1[[#This Row],[Volume]]*Table1[[#This Row],[Closing]]+J209,"")</f>
        <v>33684000.020800002</v>
      </c>
    </row>
    <row r="210" spans="1:13" x14ac:dyDescent="0.25">
      <c r="A210" s="295" t="s">
        <v>763</v>
      </c>
      <c r="B210" s="296" t="s">
        <v>724</v>
      </c>
      <c r="C210" s="296" t="s">
        <v>737</v>
      </c>
      <c r="D210" s="296" t="s">
        <v>138</v>
      </c>
      <c r="E210">
        <v>29.05</v>
      </c>
      <c r="F210">
        <v>-25.42</v>
      </c>
      <c r="G210">
        <v>100</v>
      </c>
      <c r="J210">
        <v>2.0899999999999998E-2</v>
      </c>
      <c r="K210">
        <v>209</v>
      </c>
      <c r="L210">
        <f>IFERROR(Table1[[#This Row],[% change]]+J210,"")</f>
        <v>-25.399100000000001</v>
      </c>
      <c r="M210">
        <f>IFERROR(Table1[[#This Row],[Volume]]*Table1[[#This Row],[Closing]]+J210,"")</f>
        <v>2905.0209</v>
      </c>
    </row>
    <row r="211" spans="1:13" x14ac:dyDescent="0.25">
      <c r="A211" s="295" t="s">
        <v>763</v>
      </c>
      <c r="B211" s="296" t="s">
        <v>541</v>
      </c>
      <c r="C211" s="296" t="s">
        <v>591</v>
      </c>
      <c r="D211" s="296" t="s">
        <v>138</v>
      </c>
      <c r="E211">
        <v>277.8</v>
      </c>
      <c r="F211">
        <v>-0.79</v>
      </c>
      <c r="G211">
        <v>430</v>
      </c>
      <c r="J211">
        <v>2.1000000000000001E-2</v>
      </c>
      <c r="K211">
        <v>210</v>
      </c>
      <c r="L211">
        <f>IFERROR(Table1[[#This Row],[% change]]+J211,"")</f>
        <v>-0.76900000000000002</v>
      </c>
      <c r="M211">
        <f>IFERROR(Table1[[#This Row],[Volume]]*Table1[[#This Row],[Closing]]+J211,"")</f>
        <v>119454.02099999999</v>
      </c>
    </row>
    <row r="212" spans="1:13" x14ac:dyDescent="0.25">
      <c r="A212" s="295" t="s">
        <v>763</v>
      </c>
      <c r="B212" s="296" t="s">
        <v>542</v>
      </c>
      <c r="C212" s="296" t="s">
        <v>592</v>
      </c>
      <c r="D212" s="296" t="s">
        <v>138</v>
      </c>
      <c r="E212">
        <v>2.83</v>
      </c>
      <c r="F212">
        <v>-0.7</v>
      </c>
      <c r="G212">
        <v>5093000</v>
      </c>
      <c r="J212">
        <v>2.1100000000000001E-2</v>
      </c>
      <c r="K212">
        <v>211</v>
      </c>
      <c r="L212">
        <f>IFERROR(Table1[[#This Row],[% change]]+J212,"")</f>
        <v>-0.67889999999999995</v>
      </c>
      <c r="M212">
        <f>IFERROR(Table1[[#This Row],[Volume]]*Table1[[#This Row],[Closing]]+J212,"")</f>
        <v>14413190.0211</v>
      </c>
    </row>
    <row r="213" spans="1:13" x14ac:dyDescent="0.25">
      <c r="A213" s="295" t="s">
        <v>763</v>
      </c>
      <c r="B213" s="296" t="s">
        <v>543</v>
      </c>
      <c r="C213" s="296" t="s">
        <v>593</v>
      </c>
      <c r="D213" s="296" t="s">
        <v>138</v>
      </c>
      <c r="E213">
        <v>65.900000000000006</v>
      </c>
      <c r="F213">
        <v>-0.08</v>
      </c>
      <c r="G213">
        <v>17060</v>
      </c>
      <c r="J213">
        <v>2.12E-2</v>
      </c>
      <c r="K213">
        <v>212</v>
      </c>
      <c r="L213">
        <f>IFERROR(Table1[[#This Row],[% change]]+J213,"")</f>
        <v>-5.8800000000000005E-2</v>
      </c>
      <c r="M213">
        <f>IFERROR(Table1[[#This Row],[Volume]]*Table1[[#This Row],[Closing]]+J213,"")</f>
        <v>1124254.0212000001</v>
      </c>
    </row>
    <row r="214" spans="1:13" x14ac:dyDescent="0.25">
      <c r="A214" s="295" t="s">
        <v>763</v>
      </c>
      <c r="B214" s="296" t="s">
        <v>613</v>
      </c>
      <c r="C214" s="296" t="s">
        <v>623</v>
      </c>
      <c r="D214" s="296" t="s">
        <v>138</v>
      </c>
      <c r="E214">
        <v>6.8999999999999999E-3</v>
      </c>
      <c r="F214">
        <v>0</v>
      </c>
      <c r="G214">
        <v>4000000</v>
      </c>
      <c r="J214">
        <v>2.1299999999999999E-2</v>
      </c>
      <c r="K214">
        <v>213</v>
      </c>
      <c r="L214">
        <f>IFERROR(Table1[[#This Row],[% change]]+J214,"")</f>
        <v>2.1299999999999999E-2</v>
      </c>
      <c r="M214">
        <f>IFERROR(Table1[[#This Row],[Volume]]*Table1[[#This Row],[Closing]]+J214,"")</f>
        <v>27600.0213</v>
      </c>
    </row>
    <row r="215" spans="1:13" x14ac:dyDescent="0.25">
      <c r="A215" s="295" t="s">
        <v>763</v>
      </c>
      <c r="B215" s="296" t="s">
        <v>65</v>
      </c>
      <c r="C215" s="296" t="s">
        <v>132</v>
      </c>
      <c r="D215" s="296" t="s">
        <v>138</v>
      </c>
      <c r="E215">
        <v>142.9</v>
      </c>
      <c r="F215">
        <v>-1.92</v>
      </c>
      <c r="G215">
        <v>236080</v>
      </c>
      <c r="J215">
        <v>2.1399999999999999E-2</v>
      </c>
      <c r="K215">
        <v>214</v>
      </c>
      <c r="L215">
        <f>IFERROR(Table1[[#This Row],[% change]]+J215,"")</f>
        <v>-1.8985999999999998</v>
      </c>
      <c r="M215">
        <f>IFERROR(Table1[[#This Row],[Volume]]*Table1[[#This Row],[Closing]]+J215,"")</f>
        <v>33735832.021399997</v>
      </c>
    </row>
    <row r="216" spans="1:13" x14ac:dyDescent="0.25">
      <c r="A216" s="295" t="s">
        <v>763</v>
      </c>
      <c r="B216" s="296" t="s">
        <v>66</v>
      </c>
      <c r="C216" s="296" t="s">
        <v>133</v>
      </c>
      <c r="D216" s="296" t="s">
        <v>138</v>
      </c>
      <c r="E216">
        <v>1.57</v>
      </c>
      <c r="F216">
        <v>-2.48</v>
      </c>
      <c r="G216">
        <v>5424000</v>
      </c>
      <c r="J216">
        <v>2.1499999999999998E-2</v>
      </c>
      <c r="K216">
        <v>215</v>
      </c>
      <c r="L216">
        <f>IFERROR(Table1[[#This Row],[% change]]+J216,"")</f>
        <v>-2.4584999999999999</v>
      </c>
      <c r="M216">
        <f>IFERROR(Table1[[#This Row],[Volume]]*Table1[[#This Row],[Closing]]+J216,"")</f>
        <v>8515680.0215000007</v>
      </c>
    </row>
    <row r="217" spans="1:13" x14ac:dyDescent="0.25">
      <c r="A217" s="295" t="s">
        <v>763</v>
      </c>
      <c r="B217" s="296" t="s">
        <v>67</v>
      </c>
      <c r="C217" s="296" t="s">
        <v>134</v>
      </c>
      <c r="D217" s="296" t="s">
        <v>138</v>
      </c>
      <c r="E217">
        <v>5.25</v>
      </c>
      <c r="F217">
        <v>-2.78</v>
      </c>
      <c r="G217">
        <v>4514700</v>
      </c>
      <c r="J217">
        <v>2.1600000000000001E-2</v>
      </c>
      <c r="K217">
        <v>216</v>
      </c>
      <c r="L217">
        <f>IFERROR(Table1[[#This Row],[% change]]+J217,"")</f>
        <v>-2.7584</v>
      </c>
      <c r="M217">
        <f>IFERROR(Table1[[#This Row],[Volume]]*Table1[[#This Row],[Closing]]+J217,"")</f>
        <v>23702175.021600001</v>
      </c>
    </row>
    <row r="218" spans="1:13" x14ac:dyDescent="0.25">
      <c r="A218" s="295" t="s">
        <v>763</v>
      </c>
      <c r="B218" s="296" t="s">
        <v>68</v>
      </c>
      <c r="C218" s="296" t="s">
        <v>135</v>
      </c>
      <c r="D218" s="296" t="s">
        <v>138</v>
      </c>
      <c r="E218">
        <v>2.85</v>
      </c>
      <c r="F218">
        <v>7.14</v>
      </c>
      <c r="G218">
        <v>75401000</v>
      </c>
      <c r="J218">
        <v>2.1700000000000001E-2</v>
      </c>
      <c r="K218">
        <v>217</v>
      </c>
      <c r="L218">
        <f>IFERROR(Table1[[#This Row],[% change]]+J218,"")</f>
        <v>7.1616999999999997</v>
      </c>
      <c r="M218">
        <f>IFERROR(Table1[[#This Row],[Volume]]*Table1[[#This Row],[Closing]]+J218,"")</f>
        <v>214892850.02169999</v>
      </c>
    </row>
    <row r="219" spans="1:13" x14ac:dyDescent="0.25">
      <c r="A219" s="295" t="s">
        <v>763</v>
      </c>
      <c r="B219" s="296" t="s">
        <v>751</v>
      </c>
      <c r="C219" s="296" t="s">
        <v>761</v>
      </c>
      <c r="D219" s="296" t="s">
        <v>138</v>
      </c>
      <c r="E219">
        <v>18.98</v>
      </c>
      <c r="F219">
        <v>-5.01</v>
      </c>
      <c r="G219">
        <v>800</v>
      </c>
      <c r="J219">
        <v>2.18E-2</v>
      </c>
      <c r="K219">
        <v>218</v>
      </c>
      <c r="L219">
        <f>IFERROR(Table1[[#This Row],[% change]]+J219,"")</f>
        <v>-4.9882</v>
      </c>
      <c r="M219">
        <f>IFERROR(Table1[[#This Row],[Volume]]*Table1[[#This Row],[Closing]]+J219,"")</f>
        <v>15184.0218</v>
      </c>
    </row>
    <row r="220" spans="1:13" x14ac:dyDescent="0.25">
      <c r="A220" s="295" t="s">
        <v>763</v>
      </c>
      <c r="B220" s="296" t="s">
        <v>69</v>
      </c>
      <c r="C220" s="296" t="s">
        <v>136</v>
      </c>
      <c r="D220" s="296" t="s">
        <v>138</v>
      </c>
      <c r="E220">
        <v>3.52</v>
      </c>
      <c r="F220">
        <v>-1.68</v>
      </c>
      <c r="G220">
        <v>105000</v>
      </c>
      <c r="J220">
        <v>2.1899999999999999E-2</v>
      </c>
      <c r="K220">
        <v>219</v>
      </c>
      <c r="L220">
        <f>IFERROR(Table1[[#This Row],[% change]]+J220,"")</f>
        <v>-1.6580999999999999</v>
      </c>
      <c r="M220">
        <f>IFERROR(Table1[[#This Row],[Volume]]*Table1[[#This Row],[Closing]]+J220,"")</f>
        <v>369600.02189999999</v>
      </c>
    </row>
    <row r="221" spans="1:13" x14ac:dyDescent="0.25">
      <c r="A221" s="295" t="s">
        <v>763</v>
      </c>
      <c r="B221" s="296" t="s">
        <v>409</v>
      </c>
      <c r="C221" s="296" t="s">
        <v>439</v>
      </c>
      <c r="D221" s="296" t="s">
        <v>138</v>
      </c>
      <c r="E221">
        <v>0.24</v>
      </c>
      <c r="F221">
        <v>-1.64</v>
      </c>
      <c r="G221">
        <v>1170000</v>
      </c>
      <c r="J221">
        <v>2.1999999999999999E-2</v>
      </c>
      <c r="K221">
        <v>220</v>
      </c>
      <c r="L221">
        <f>IFERROR(Table1[[#This Row],[% change]]+J221,"")</f>
        <v>-1.6179999999999999</v>
      </c>
      <c r="M221">
        <f>IFERROR(Table1[[#This Row],[Volume]]*Table1[[#This Row],[Closing]]+J221,"")</f>
        <v>280800.022</v>
      </c>
    </row>
    <row r="222" spans="1:13" x14ac:dyDescent="0.25">
      <c r="A222" s="295" t="s">
        <v>763</v>
      </c>
      <c r="B222" s="296" t="s">
        <v>169</v>
      </c>
      <c r="C222" s="296" t="s">
        <v>273</v>
      </c>
      <c r="D222" s="296" t="s">
        <v>138</v>
      </c>
      <c r="E222">
        <v>11.38</v>
      </c>
      <c r="F222">
        <v>-0.18</v>
      </c>
      <c r="G222">
        <v>419400</v>
      </c>
      <c r="J222">
        <v>2.2100000000000002E-2</v>
      </c>
      <c r="K222">
        <v>221</v>
      </c>
      <c r="L222">
        <f>IFERROR(Table1[[#This Row],[% change]]+J222,"")</f>
        <v>-0.15789999999999998</v>
      </c>
      <c r="M222">
        <f>IFERROR(Table1[[#This Row],[Volume]]*Table1[[#This Row],[Closing]]+J222,"")</f>
        <v>4772772.0220999997</v>
      </c>
    </row>
    <row r="223" spans="1:13" x14ac:dyDescent="0.25">
      <c r="A223" s="295" t="s">
        <v>763</v>
      </c>
      <c r="B223" s="296" t="s">
        <v>70</v>
      </c>
      <c r="C223" s="296" t="s">
        <v>137</v>
      </c>
      <c r="D223" s="296" t="s">
        <v>138</v>
      </c>
      <c r="E223">
        <v>0.61</v>
      </c>
      <c r="F223">
        <v>1.67</v>
      </c>
      <c r="G223">
        <v>2300000</v>
      </c>
      <c r="J223">
        <v>2.2200000000000001E-2</v>
      </c>
      <c r="K223">
        <v>222</v>
      </c>
      <c r="L223">
        <f>IFERROR(Table1[[#This Row],[% change]]+J223,"")</f>
        <v>1.6921999999999999</v>
      </c>
      <c r="M223">
        <f>IFERROR(Table1[[#This Row],[Volume]]*Table1[[#This Row],[Closing]]+J223,"")</f>
        <v>1403000.0222</v>
      </c>
    </row>
    <row r="224" spans="1:13" x14ac:dyDescent="0.25">
      <c r="A224" s="295" t="s">
        <v>763</v>
      </c>
      <c r="B224" s="296" t="s">
        <v>410</v>
      </c>
      <c r="C224" s="296" t="s">
        <v>440</v>
      </c>
      <c r="D224" s="296" t="s">
        <v>138</v>
      </c>
      <c r="E224">
        <v>1.72</v>
      </c>
      <c r="F224">
        <v>-9.4700000000000006</v>
      </c>
      <c r="G224">
        <v>9223000</v>
      </c>
      <c r="J224">
        <v>2.23E-2</v>
      </c>
      <c r="K224">
        <v>223</v>
      </c>
      <c r="L224">
        <f>IFERROR(Table1[[#This Row],[% change]]+J224,"")</f>
        <v>-9.4477000000000011</v>
      </c>
      <c r="M224">
        <f>IFERROR(Table1[[#This Row],[Volume]]*Table1[[#This Row],[Closing]]+J224,"")</f>
        <v>15863560.022299999</v>
      </c>
    </row>
    <row r="225" spans="1:13" x14ac:dyDescent="0.25">
      <c r="A225" s="295" t="s">
        <v>763</v>
      </c>
      <c r="B225" s="296" t="s">
        <v>725</v>
      </c>
      <c r="C225" s="296" t="s">
        <v>738</v>
      </c>
      <c r="D225" s="296" t="s">
        <v>138</v>
      </c>
      <c r="E225">
        <v>0.21</v>
      </c>
      <c r="F225">
        <v>0</v>
      </c>
      <c r="G225">
        <v>210000</v>
      </c>
      <c r="J225">
        <v>2.24E-2</v>
      </c>
      <c r="K225">
        <v>224</v>
      </c>
      <c r="L225">
        <f>IFERROR(Table1[[#This Row],[% change]]+J225,"")</f>
        <v>2.24E-2</v>
      </c>
      <c r="M225">
        <f>IFERROR(Table1[[#This Row],[Volume]]*Table1[[#This Row],[Closing]]+J225,"")</f>
        <v>44100.022400000002</v>
      </c>
    </row>
    <row r="226" spans="1:13" x14ac:dyDescent="0.25">
      <c r="A226" s="295" t="s">
        <v>763</v>
      </c>
      <c r="B226" s="296" t="s">
        <v>52</v>
      </c>
      <c r="C226" s="296" t="s">
        <v>274</v>
      </c>
      <c r="D226" s="296" t="s">
        <v>138</v>
      </c>
      <c r="E226">
        <v>-50.96</v>
      </c>
      <c r="F226">
        <v>-0.7</v>
      </c>
      <c r="G226">
        <v>718</v>
      </c>
      <c r="J226">
        <v>2.2499999999999999E-2</v>
      </c>
      <c r="K226">
        <v>225</v>
      </c>
      <c r="L226">
        <f>IFERROR(Table1[[#This Row],[% change]]+J226,"")</f>
        <v>-0.67749999999999999</v>
      </c>
      <c r="M226">
        <f>IFERROR(Table1[[#This Row],[Volume]]*Table1[[#This Row],[Closing]]+J226,"")</f>
        <v>-36589.2575</v>
      </c>
    </row>
    <row r="227" spans="1:13" x14ac:dyDescent="0.25">
      <c r="A227" s="295" t="s">
        <v>763</v>
      </c>
      <c r="B227" s="296" t="s">
        <v>261</v>
      </c>
      <c r="C227" s="296" t="s">
        <v>275</v>
      </c>
      <c r="D227" s="296" t="s">
        <v>138</v>
      </c>
      <c r="E227">
        <v>-20.71</v>
      </c>
      <c r="F227">
        <v>-0.47</v>
      </c>
      <c r="G227">
        <v>4378</v>
      </c>
      <c r="J227">
        <v>2.2599999999999999E-2</v>
      </c>
      <c r="K227">
        <v>226</v>
      </c>
      <c r="L227">
        <f>IFERROR(Table1[[#This Row],[% change]]+J227,"")</f>
        <v>-0.44739999999999996</v>
      </c>
      <c r="M227">
        <f>IFERROR(Table1[[#This Row],[Volume]]*Table1[[#This Row],[Closing]]+J227,"")</f>
        <v>-90668.357400000008</v>
      </c>
    </row>
    <row r="228" spans="1:13" x14ac:dyDescent="0.25">
      <c r="A228" s="295" t="s">
        <v>763</v>
      </c>
      <c r="B228" s="296" t="s">
        <v>262</v>
      </c>
      <c r="C228" s="296" t="s">
        <v>276</v>
      </c>
      <c r="D228" s="296" t="s">
        <v>138</v>
      </c>
      <c r="E228">
        <v>-6.7</v>
      </c>
      <c r="F228">
        <v>-0.41</v>
      </c>
      <c r="G228">
        <v>1633</v>
      </c>
      <c r="J228">
        <v>2.2700000000000001E-2</v>
      </c>
      <c r="K228">
        <v>227</v>
      </c>
      <c r="L228">
        <f>IFERROR(Table1[[#This Row],[% change]]+J228,"")</f>
        <v>-0.38729999999999998</v>
      </c>
      <c r="M228">
        <f>IFERROR(Table1[[#This Row],[Volume]]*Table1[[#This Row],[Closing]]+J228,"")</f>
        <v>-10941.077300000001</v>
      </c>
    </row>
    <row r="229" spans="1:13" x14ac:dyDescent="0.25">
      <c r="A229" s="295" t="s">
        <v>763</v>
      </c>
      <c r="B229" s="296" t="s">
        <v>263</v>
      </c>
      <c r="C229" s="296" t="s">
        <v>277</v>
      </c>
      <c r="D229" s="296" t="s">
        <v>138</v>
      </c>
      <c r="E229">
        <v>-77.739999999999995</v>
      </c>
      <c r="F229">
        <v>-0.72</v>
      </c>
      <c r="G229">
        <v>10786</v>
      </c>
      <c r="J229">
        <v>2.2800000000000001E-2</v>
      </c>
      <c r="K229">
        <v>228</v>
      </c>
      <c r="L229">
        <f>IFERROR(Table1[[#This Row],[% change]]+J229,"")</f>
        <v>-0.69719999999999993</v>
      </c>
      <c r="M229">
        <f>IFERROR(Table1[[#This Row],[Volume]]*Table1[[#This Row],[Closing]]+J229,"")</f>
        <v>-838503.61719999986</v>
      </c>
    </row>
    <row r="230" spans="1:13" x14ac:dyDescent="0.25">
      <c r="A230" s="295" t="s">
        <v>763</v>
      </c>
      <c r="B230" s="296" t="s">
        <v>264</v>
      </c>
      <c r="C230" s="296" t="s">
        <v>278</v>
      </c>
      <c r="D230" s="296" t="s">
        <v>138</v>
      </c>
      <c r="E230">
        <v>-5.47</v>
      </c>
      <c r="F230">
        <v>-0.08</v>
      </c>
      <c r="G230">
        <v>6963</v>
      </c>
      <c r="J230">
        <v>2.29E-2</v>
      </c>
      <c r="K230">
        <v>229</v>
      </c>
      <c r="L230">
        <f>IFERROR(Table1[[#This Row],[% change]]+J230,"")</f>
        <v>-5.7099999999999998E-2</v>
      </c>
      <c r="M230">
        <f>IFERROR(Table1[[#This Row],[Volume]]*Table1[[#This Row],[Closing]]+J230,"")</f>
        <v>-38087.587099999997</v>
      </c>
    </row>
    <row r="231" spans="1:13" x14ac:dyDescent="0.25">
      <c r="A231" s="295" t="s">
        <v>763</v>
      </c>
      <c r="B231" s="296" t="s">
        <v>265</v>
      </c>
      <c r="C231" s="296" t="s">
        <v>279</v>
      </c>
      <c r="D231" s="296" t="s">
        <v>138</v>
      </c>
      <c r="E231">
        <v>-72.91</v>
      </c>
      <c r="F231">
        <v>-2.02</v>
      </c>
      <c r="G231">
        <v>3529</v>
      </c>
      <c r="J231">
        <v>2.3E-2</v>
      </c>
      <c r="K231">
        <v>230</v>
      </c>
      <c r="L231">
        <f>IFERROR(Table1[[#This Row],[% change]]+J231,"")</f>
        <v>-1.9970000000000001</v>
      </c>
      <c r="M231">
        <f>IFERROR(Table1[[#This Row],[Volume]]*Table1[[#This Row],[Closing]]+J231,"")</f>
        <v>-257299.367</v>
      </c>
    </row>
    <row r="232" spans="1:13" x14ac:dyDescent="0.25">
      <c r="A232" s="295" t="s">
        <v>763</v>
      </c>
      <c r="B232" s="296" t="s">
        <v>266</v>
      </c>
      <c r="C232" s="296" t="s">
        <v>280</v>
      </c>
      <c r="D232" s="296" t="s">
        <v>138</v>
      </c>
      <c r="E232">
        <v>-11.56</v>
      </c>
      <c r="F232">
        <v>-0.78</v>
      </c>
      <c r="G232">
        <v>1480</v>
      </c>
      <c r="J232">
        <v>2.3099999999999999E-2</v>
      </c>
      <c r="K232">
        <v>231</v>
      </c>
      <c r="L232">
        <f>IFERROR(Table1[[#This Row],[% change]]+J232,"")</f>
        <v>-0.75690000000000002</v>
      </c>
      <c r="M232">
        <f>IFERROR(Table1[[#This Row],[Volume]]*Table1[[#This Row],[Closing]]+J232,"")</f>
        <v>-17108.776900000001</v>
      </c>
    </row>
    <row r="233" spans="1:13" x14ac:dyDescent="0.25">
      <c r="A233" s="295" t="s">
        <v>763</v>
      </c>
      <c r="B233" s="296" t="s">
        <v>267</v>
      </c>
      <c r="C233" s="296" t="s">
        <v>281</v>
      </c>
      <c r="D233" s="296" t="s">
        <v>138</v>
      </c>
      <c r="E233">
        <v>14.55</v>
      </c>
      <c r="F233">
        <v>0.15</v>
      </c>
      <c r="G233">
        <v>9520</v>
      </c>
      <c r="J233">
        <v>2.3199999999999998E-2</v>
      </c>
      <c r="K233">
        <v>232</v>
      </c>
      <c r="L233">
        <f>IFERROR(Table1[[#This Row],[% change]]+J233,"")</f>
        <v>0.17319999999999999</v>
      </c>
      <c r="M233">
        <f>IFERROR(Table1[[#This Row],[Volume]]*Table1[[#This Row],[Closing]]+J233,"")</f>
        <v>138516.0232</v>
      </c>
    </row>
    <row r="234" spans="1:13" x14ac:dyDescent="0.25">
      <c r="J234">
        <v>2.3300000000000001E-2</v>
      </c>
      <c r="K234">
        <v>233</v>
      </c>
      <c r="L234" t="str">
        <f>IFERROR(Table1[[#This Row],[% change]]+J234,"")</f>
        <v/>
      </c>
      <c r="M234" t="str">
        <f>IFERROR(Table1[[#This Row],[Volume]]*Table1[[#This Row],[Closing]]+J234,"")</f>
        <v/>
      </c>
    </row>
    <row r="235" spans="1:13" x14ac:dyDescent="0.25">
      <c r="J235">
        <v>2.3400000000000001E-2</v>
      </c>
      <c r="K235">
        <v>234</v>
      </c>
      <c r="L235" t="str">
        <f>IFERROR(Table1[[#This Row],[% change]]+J235,"")</f>
        <v/>
      </c>
      <c r="M235" t="str">
        <f>IFERROR(Table1[[#This Row],[Volume]]*Table1[[#This Row],[Closing]]+J235,"")</f>
        <v/>
      </c>
    </row>
    <row r="236" spans="1:13" x14ac:dyDescent="0.25">
      <c r="J236">
        <v>2.35E-2</v>
      </c>
      <c r="K236">
        <v>235</v>
      </c>
      <c r="L236" t="str">
        <f>IFERROR(Table1[[#This Row],[% change]]+J236,"")</f>
        <v/>
      </c>
      <c r="M236" t="str">
        <f>IFERROR(Table1[[#This Row],[Volume]]*Table1[[#This Row],[Closing]]+J236,"")</f>
        <v/>
      </c>
    </row>
    <row r="237" spans="1:13" x14ac:dyDescent="0.25">
      <c r="J237">
        <v>2.3599999999999999E-2</v>
      </c>
      <c r="K237">
        <v>236</v>
      </c>
      <c r="L237" t="str">
        <f>IFERROR(Table1[[#This Row],[% change]]+J237,"")</f>
        <v/>
      </c>
      <c r="M237" t="str">
        <f>IFERROR(Table1[[#This Row],[Volume]]*Table1[[#This Row],[Closing]]+J237,"")</f>
        <v/>
      </c>
    </row>
    <row r="238" spans="1:13" x14ac:dyDescent="0.25">
      <c r="J238">
        <v>2.3699999999999999E-2</v>
      </c>
      <c r="K238">
        <v>237</v>
      </c>
      <c r="L238" t="str">
        <f>IFERROR(Table1[[#This Row],[% change]]+J238,"")</f>
        <v/>
      </c>
      <c r="M238" t="str">
        <f>IFERROR(Table1[[#This Row],[Volume]]*Table1[[#This Row],[Closing]]+J238,"")</f>
        <v/>
      </c>
    </row>
    <row r="239" spans="1:13" x14ac:dyDescent="0.25">
      <c r="J239">
        <v>2.3800000000000002E-2</v>
      </c>
      <c r="K239">
        <v>238</v>
      </c>
      <c r="L239" t="str">
        <f>IFERROR(Table1[[#This Row],[% change]]+J239,"")</f>
        <v/>
      </c>
      <c r="M239" t="str">
        <f>IFERROR(Table1[[#This Row],[Volume]]*Table1[[#This Row],[Closing]]+J239,"")</f>
        <v/>
      </c>
    </row>
    <row r="240" spans="1:13" x14ac:dyDescent="0.25">
      <c r="J240">
        <v>2.3900000000000001E-2</v>
      </c>
      <c r="K240">
        <v>239</v>
      </c>
      <c r="L240" t="str">
        <f>IFERROR(Table1[[#This Row],[% change]]+J240,"")</f>
        <v/>
      </c>
      <c r="M240" t="str">
        <f>IFERROR(Table1[[#This Row],[Volume]]*Table1[[#This Row],[Closing]]+J240,"")</f>
        <v/>
      </c>
    </row>
    <row r="241" spans="10:13" x14ac:dyDescent="0.25">
      <c r="J241">
        <v>2.4E-2</v>
      </c>
      <c r="K241">
        <v>240</v>
      </c>
      <c r="L241" t="str">
        <f>IFERROR(Table1[[#This Row],[% change]]+J241,"")</f>
        <v/>
      </c>
      <c r="M241" t="str">
        <f>IFERROR(Table1[[#This Row],[Volume]]*Table1[[#This Row],[Closing]]+J241,"")</f>
        <v/>
      </c>
    </row>
    <row r="242" spans="10:13" x14ac:dyDescent="0.25">
      <c r="J242">
        <v>2.41E-2</v>
      </c>
      <c r="K242">
        <v>241</v>
      </c>
      <c r="L242" t="str">
        <f>IFERROR(Table1[[#This Row],[% change]]+J242,"")</f>
        <v/>
      </c>
      <c r="M242" t="str">
        <f>IFERROR(Table1[[#This Row],[Volume]]*Table1[[#This Row],[Closing]]+J242,"")</f>
        <v/>
      </c>
    </row>
    <row r="243" spans="10:13" x14ac:dyDescent="0.25">
      <c r="J243">
        <v>2.4199999999999999E-2</v>
      </c>
      <c r="K243">
        <v>242</v>
      </c>
      <c r="L243" t="str">
        <f>IFERROR(Table1[[#This Row],[% change]]+J243,"")</f>
        <v/>
      </c>
      <c r="M243" t="str">
        <f>IFERROR(Table1[[#This Row],[Volume]]*Table1[[#This Row],[Closing]]+J243,"")</f>
        <v/>
      </c>
    </row>
    <row r="244" spans="10:13" x14ac:dyDescent="0.25">
      <c r="J244">
        <v>2.4299999999999999E-2</v>
      </c>
      <c r="K244">
        <v>243</v>
      </c>
      <c r="L244" t="str">
        <f>IFERROR(Table1[[#This Row],[% change]]+J244,"")</f>
        <v/>
      </c>
      <c r="M244" t="str">
        <f>IFERROR(Table1[[#This Row],[Volume]]*Table1[[#This Row],[Closing]]+J244,"")</f>
        <v/>
      </c>
    </row>
    <row r="245" spans="10:13" x14ac:dyDescent="0.25">
      <c r="J245">
        <v>2.4400000000000002E-2</v>
      </c>
      <c r="K245">
        <v>244</v>
      </c>
      <c r="L245" t="str">
        <f>IFERROR(Table1[[#This Row],[% change]]+J245,"")</f>
        <v/>
      </c>
      <c r="M245" t="str">
        <f>IFERROR(Table1[[#This Row],[Volume]]*Table1[[#This Row],[Closing]]+J245,"")</f>
        <v/>
      </c>
    </row>
    <row r="246" spans="10:13" x14ac:dyDescent="0.25">
      <c r="J246">
        <v>2.4500000000000001E-2</v>
      </c>
      <c r="K246">
        <v>245</v>
      </c>
      <c r="L246" t="str">
        <f>IFERROR(Table1[[#This Row],[% change]]+J246,"")</f>
        <v/>
      </c>
      <c r="M246" t="str">
        <f>IFERROR(Table1[[#This Row],[Volume]]*Table1[[#This Row],[Closing]]+J246,"")</f>
        <v/>
      </c>
    </row>
    <row r="247" spans="10:13" x14ac:dyDescent="0.25">
      <c r="J247">
        <v>2.46E-2</v>
      </c>
      <c r="K247">
        <v>246</v>
      </c>
      <c r="L247" t="str">
        <f>IFERROR(Table1[[#This Row],[% change]]+J247,"")</f>
        <v/>
      </c>
      <c r="M247" t="str">
        <f>IFERROR(Table1[[#This Row],[Volume]]*Table1[[#This Row],[Closing]]+J247,"")</f>
        <v/>
      </c>
    </row>
    <row r="248" spans="10:13" x14ac:dyDescent="0.25">
      <c r="J248">
        <v>2.47E-2</v>
      </c>
      <c r="K248">
        <v>247</v>
      </c>
      <c r="L248" t="str">
        <f>IFERROR(Table1[[#This Row],[% change]]+J248,"")</f>
        <v/>
      </c>
      <c r="M248" t="str">
        <f>IFERROR(Table1[[#This Row],[Volume]]*Table1[[#This Row],[Closing]]+J248,"")</f>
        <v/>
      </c>
    </row>
    <row r="249" spans="10:13" x14ac:dyDescent="0.25">
      <c r="J249">
        <v>2.4799999999999999E-2</v>
      </c>
      <c r="K249">
        <v>248</v>
      </c>
      <c r="L249" t="str">
        <f>IFERROR(Table1[[#This Row],[% change]]+J249,"")</f>
        <v/>
      </c>
      <c r="M249" t="str">
        <f>IFERROR(Table1[[#This Row],[Volume]]*Table1[[#This Row],[Closing]]+J249,"")</f>
        <v/>
      </c>
    </row>
    <row r="250" spans="10:13" x14ac:dyDescent="0.25">
      <c r="J250">
        <v>2.4899999999999999E-2</v>
      </c>
      <c r="K250">
        <v>249</v>
      </c>
      <c r="L250" t="str">
        <f>IFERROR(Table1[[#This Row],[% change]]+J250,"")</f>
        <v/>
      </c>
      <c r="M250" t="str">
        <f>IFERROR(Table1[[#This Row],[Volume]]*Table1[[#This Row],[Closing]]+J250,"")</f>
        <v/>
      </c>
    </row>
    <row r="251" spans="10:13" x14ac:dyDescent="0.25">
      <c r="J251">
        <v>2.5000000000000001E-2</v>
      </c>
      <c r="K251">
        <v>250</v>
      </c>
      <c r="L251" t="str">
        <f>IFERROR(Table1[[#This Row],[% change]]+J251,"")</f>
        <v/>
      </c>
      <c r="M251" t="str">
        <f>IFERROR(Table1[[#This Row],[Volume]]*Table1[[#This Row],[Closing]]+J251,"")</f>
        <v/>
      </c>
    </row>
    <row r="252" spans="10:13" x14ac:dyDescent="0.25">
      <c r="J252">
        <v>2.5100000000000001E-2</v>
      </c>
      <c r="K252">
        <v>251</v>
      </c>
      <c r="L252" t="str">
        <f>IFERROR(Table1[[#This Row],[% change]]+J252,"")</f>
        <v/>
      </c>
      <c r="M252" t="str">
        <f>IFERROR(Table1[[#This Row],[Volume]]*Table1[[#This Row],[Closing]]+J252,"")</f>
        <v/>
      </c>
    </row>
    <row r="253" spans="10:13" x14ac:dyDescent="0.25">
      <c r="J253">
        <v>2.52E-2</v>
      </c>
      <c r="K253">
        <v>252</v>
      </c>
      <c r="L253" t="str">
        <f>IFERROR(Table1[[#This Row],[% change]]+J253,"")</f>
        <v/>
      </c>
      <c r="M253" t="str">
        <f>IFERROR(Table1[[#This Row],[Volume]]*Table1[[#This Row],[Closing]]+J253,"")</f>
        <v/>
      </c>
    </row>
    <row r="254" spans="10:13" x14ac:dyDescent="0.25">
      <c r="J254">
        <v>2.53E-2</v>
      </c>
      <c r="K254">
        <v>253</v>
      </c>
      <c r="L254" t="str">
        <f>IFERROR(Table1[[#This Row],[% change]]+J254,"")</f>
        <v/>
      </c>
      <c r="M254" t="str">
        <f>IFERROR(Table1[[#This Row],[Volume]]*Table1[[#This Row],[Closing]]+J254,"")</f>
        <v/>
      </c>
    </row>
    <row r="255" spans="10:13" x14ac:dyDescent="0.25">
      <c r="J255">
        <v>2.5399999999999999E-2</v>
      </c>
      <c r="K255">
        <v>254</v>
      </c>
      <c r="L255" t="str">
        <f>IFERROR(Table1[[#This Row],[% change]]+J255,"")</f>
        <v/>
      </c>
      <c r="M255" t="str">
        <f>IFERROR(Table1[[#This Row],[Volume]]*Table1[[#This Row],[Closing]]+J255,"")</f>
        <v/>
      </c>
    </row>
    <row r="256" spans="10:13" x14ac:dyDescent="0.25">
      <c r="J256">
        <v>2.5499999999999998E-2</v>
      </c>
      <c r="K256">
        <v>255</v>
      </c>
      <c r="L256" t="str">
        <f>IFERROR(Table1[[#This Row],[% change]]+J256,"")</f>
        <v/>
      </c>
      <c r="M256" t="str">
        <f>IFERROR(Table1[[#This Row],[Volume]]*Table1[[#This Row],[Closing]]+J256,"")</f>
        <v/>
      </c>
    </row>
    <row r="257" spans="10:13" x14ac:dyDescent="0.25">
      <c r="J257">
        <v>2.5600000000000001E-2</v>
      </c>
      <c r="K257">
        <v>256</v>
      </c>
      <c r="L257" t="str">
        <f>IFERROR(Table1[[#This Row],[% change]]+J257,"")</f>
        <v/>
      </c>
      <c r="M257" t="str">
        <f>IFERROR(Table1[[#This Row],[Volume]]*Table1[[#This Row],[Closing]]+J257,"")</f>
        <v/>
      </c>
    </row>
    <row r="258" spans="10:13" x14ac:dyDescent="0.25">
      <c r="J258">
        <v>2.5700000000000001E-2</v>
      </c>
      <c r="K258">
        <v>257</v>
      </c>
      <c r="L258" t="str">
        <f>IFERROR(Table1[[#This Row],[% change]]+J258,"")</f>
        <v/>
      </c>
      <c r="M258" t="str">
        <f>IFERROR(Table1[[#This Row],[Volume]]*Table1[[#This Row],[Closing]]+J258,"")</f>
        <v/>
      </c>
    </row>
    <row r="259" spans="10:13" x14ac:dyDescent="0.25">
      <c r="J259">
        <v>2.58E-2</v>
      </c>
      <c r="K259">
        <v>258</v>
      </c>
      <c r="L259" t="str">
        <f>IFERROR(Table1[[#This Row],[% change]]+J259,"")</f>
        <v/>
      </c>
      <c r="M259" t="str">
        <f>IFERROR(Table1[[#This Row],[Volume]]*Table1[[#This Row],[Closing]]+J259,"")</f>
        <v/>
      </c>
    </row>
    <row r="260" spans="10:13" x14ac:dyDescent="0.25">
      <c r="J260">
        <v>2.5899999999999999E-2</v>
      </c>
      <c r="K260">
        <v>259</v>
      </c>
      <c r="L260" t="str">
        <f>IFERROR(Table1[[#This Row],[% change]]+J260,"")</f>
        <v/>
      </c>
      <c r="M260" t="str">
        <f>IFERROR(Table1[[#This Row],[Volume]]*Table1[[#This Row],[Closing]]+J260,"")</f>
        <v/>
      </c>
    </row>
    <row r="261" spans="10:13" x14ac:dyDescent="0.25">
      <c r="J261">
        <v>2.5999999999999999E-2</v>
      </c>
      <c r="K261">
        <v>260</v>
      </c>
      <c r="L261" t="str">
        <f>IFERROR(Table1[[#This Row],[% change]]+J261,"")</f>
        <v/>
      </c>
      <c r="M261" t="str">
        <f>IFERROR(Table1[[#This Row],[Volume]]*Table1[[#This Row],[Closing]]+J261,"")</f>
        <v/>
      </c>
    </row>
    <row r="262" spans="10:13" x14ac:dyDescent="0.25">
      <c r="J262">
        <v>2.6100000000000002E-2</v>
      </c>
      <c r="K262">
        <v>261</v>
      </c>
      <c r="L262" t="str">
        <f>IFERROR(Table1[[#This Row],[% change]]+J262,"")</f>
        <v/>
      </c>
      <c r="M262" t="str">
        <f>IFERROR(Table1[[#This Row],[Volume]]*Table1[[#This Row],[Closing]]+J262,"")</f>
        <v/>
      </c>
    </row>
    <row r="263" spans="10:13" x14ac:dyDescent="0.25">
      <c r="J263">
        <v>2.6200000000000001E-2</v>
      </c>
      <c r="K263">
        <v>262</v>
      </c>
      <c r="L263" t="str">
        <f>IFERROR(Table1[[#This Row],[% change]]+J263,"")</f>
        <v/>
      </c>
      <c r="M263" t="str">
        <f>IFERROR(Table1[[#This Row],[Volume]]*Table1[[#This Row],[Closing]]+J263,"")</f>
        <v/>
      </c>
    </row>
    <row r="264" spans="10:13" x14ac:dyDescent="0.25">
      <c r="J264">
        <v>2.63E-2</v>
      </c>
      <c r="K264">
        <v>263</v>
      </c>
      <c r="L264" t="str">
        <f>IFERROR(Table1[[#This Row],[% change]]+J264,"")</f>
        <v/>
      </c>
      <c r="M264" t="str">
        <f>IFERROR(Table1[[#This Row],[Volume]]*Table1[[#This Row],[Closing]]+J264,"")</f>
        <v/>
      </c>
    </row>
    <row r="265" spans="10:13" x14ac:dyDescent="0.25">
      <c r="J265">
        <v>2.64E-2</v>
      </c>
      <c r="K265">
        <v>264</v>
      </c>
      <c r="L265" t="str">
        <f>IFERROR(Table1[[#This Row],[% change]]+J265,"")</f>
        <v/>
      </c>
      <c r="M265" t="str">
        <f>IFERROR(Table1[[#This Row],[Volume]]*Table1[[#This Row],[Closing]]+J265,"")</f>
        <v/>
      </c>
    </row>
    <row r="266" spans="10:13" x14ac:dyDescent="0.25">
      <c r="J266">
        <v>2.6499999999999999E-2</v>
      </c>
      <c r="K266">
        <v>265</v>
      </c>
      <c r="L266" t="str">
        <f>IFERROR(Table1[[#This Row],[% change]]+J266,"")</f>
        <v/>
      </c>
      <c r="M266" t="str">
        <f>IFERROR(Table1[[#This Row],[Volume]]*Table1[[#This Row],[Closing]]+J266,"")</f>
        <v/>
      </c>
    </row>
    <row r="267" spans="10:13" x14ac:dyDescent="0.25">
      <c r="J267">
        <v>2.6599999999999999E-2</v>
      </c>
      <c r="K267">
        <v>266</v>
      </c>
      <c r="L267" t="str">
        <f>IFERROR(Table1[[#This Row],[% change]]+J267,"")</f>
        <v/>
      </c>
      <c r="M267" t="str">
        <f>IFERROR(Table1[[#This Row],[Volume]]*Table1[[#This Row],[Closing]]+J267,"")</f>
        <v/>
      </c>
    </row>
    <row r="268" spans="10:13" x14ac:dyDescent="0.25">
      <c r="J268">
        <v>2.6700000000000002E-2</v>
      </c>
      <c r="K268">
        <v>267</v>
      </c>
      <c r="L268" t="str">
        <f>IFERROR(Table1[[#This Row],[% change]]+J268,"")</f>
        <v/>
      </c>
      <c r="M268" t="str">
        <f>IFERROR(Table1[[#This Row],[Volume]]*Table1[[#This Row],[Closing]]+J268,"")</f>
        <v/>
      </c>
    </row>
    <row r="269" spans="10:13" x14ac:dyDescent="0.25">
      <c r="J269">
        <v>2.6800000000000001E-2</v>
      </c>
      <c r="K269">
        <v>268</v>
      </c>
      <c r="L269" t="str">
        <f>IFERROR(Table1[[#This Row],[% change]]+J269,"")</f>
        <v/>
      </c>
      <c r="M269" t="str">
        <f>IFERROR(Table1[[#This Row],[Volume]]*Table1[[#This Row],[Closing]]+J269,"")</f>
        <v/>
      </c>
    </row>
    <row r="270" spans="10:13" x14ac:dyDescent="0.25">
      <c r="J270">
        <v>2.69E-2</v>
      </c>
      <c r="K270">
        <v>269</v>
      </c>
      <c r="L270" t="str">
        <f>IFERROR(Table1[[#This Row],[% change]]+J270,"")</f>
        <v/>
      </c>
      <c r="M270" t="str">
        <f>IFERROR(Table1[[#This Row],[Volume]]*Table1[[#This Row],[Closing]]+J270,"")</f>
        <v/>
      </c>
    </row>
    <row r="271" spans="10:13" x14ac:dyDescent="0.25">
      <c r="J271">
        <v>2.7E-2</v>
      </c>
      <c r="K271">
        <v>270</v>
      </c>
      <c r="L271" t="str">
        <f>IFERROR(Table1[[#This Row],[% change]]+J271,"")</f>
        <v/>
      </c>
      <c r="M271" t="str">
        <f>IFERROR(Table1[[#This Row],[Volume]]*Table1[[#This Row],[Closing]]+J271,"")</f>
        <v/>
      </c>
    </row>
    <row r="272" spans="10:13" x14ac:dyDescent="0.25">
      <c r="J272">
        <v>2.7099999999999999E-2</v>
      </c>
      <c r="K272">
        <v>271</v>
      </c>
      <c r="L272" t="str">
        <f>IFERROR(Table1[[#This Row],[% change]]+J272,"")</f>
        <v/>
      </c>
      <c r="M272" t="str">
        <f>IFERROR(Table1[[#This Row],[Volume]]*Table1[[#This Row],[Closing]]+J272,"")</f>
        <v/>
      </c>
    </row>
    <row r="273" spans="10:13" x14ac:dyDescent="0.25">
      <c r="J273">
        <v>2.7199999999999998E-2</v>
      </c>
      <c r="K273">
        <v>272</v>
      </c>
      <c r="L273" t="str">
        <f>IFERROR(Table1[[#This Row],[% change]]+J273,"")</f>
        <v/>
      </c>
      <c r="M273" t="str">
        <f>IFERROR(Table1[[#This Row],[Volume]]*Table1[[#This Row],[Closing]]+J273,"")</f>
        <v/>
      </c>
    </row>
    <row r="274" spans="10:13" x14ac:dyDescent="0.25">
      <c r="J274">
        <v>2.7300000000000001E-2</v>
      </c>
      <c r="K274">
        <v>273</v>
      </c>
      <c r="L274" t="str">
        <f>IFERROR(Table1[[#This Row],[% change]]+J274,"")</f>
        <v/>
      </c>
      <c r="M274" t="str">
        <f>IFERROR(Table1[[#This Row],[Volume]]*Table1[[#This Row],[Closing]]+J274,"")</f>
        <v/>
      </c>
    </row>
    <row r="275" spans="10:13" x14ac:dyDescent="0.25">
      <c r="J275">
        <v>2.7400000000000001E-2</v>
      </c>
      <c r="K275">
        <v>274</v>
      </c>
      <c r="L275" t="str">
        <f>IFERROR(Table1[[#This Row],[% change]]+J275,"")</f>
        <v/>
      </c>
      <c r="M275" t="str">
        <f>IFERROR(Table1[[#This Row],[Volume]]*Table1[[#This Row],[Closing]]+J275,"")</f>
        <v/>
      </c>
    </row>
    <row r="276" spans="10:13" x14ac:dyDescent="0.25">
      <c r="J276">
        <v>2.75E-2</v>
      </c>
      <c r="K276">
        <v>275</v>
      </c>
      <c r="L276" t="str">
        <f>IFERROR(Table1[[#This Row],[% change]]+J276,"")</f>
        <v/>
      </c>
      <c r="M276" t="str">
        <f>IFERROR(Table1[[#This Row],[Volume]]*Table1[[#This Row],[Closing]]+J276,"")</f>
        <v/>
      </c>
    </row>
    <row r="277" spans="10:13" x14ac:dyDescent="0.25">
      <c r="J277">
        <v>2.76E-2</v>
      </c>
      <c r="K277">
        <v>276</v>
      </c>
      <c r="L277" t="str">
        <f>IFERROR(Table1[[#This Row],[% change]]+J277,"")</f>
        <v/>
      </c>
      <c r="M277" t="str">
        <f>IFERROR(Table1[[#This Row],[Volume]]*Table1[[#This Row],[Closing]]+J277,"")</f>
        <v/>
      </c>
    </row>
    <row r="278" spans="10:13" x14ac:dyDescent="0.25">
      <c r="J278">
        <v>2.7699999999999999E-2</v>
      </c>
      <c r="K278">
        <v>277</v>
      </c>
      <c r="L278" t="str">
        <f>IFERROR(Table1[[#This Row],[% change]]+J278,"")</f>
        <v/>
      </c>
      <c r="M278" t="str">
        <f>IFERROR(Table1[[#This Row],[Volume]]*Table1[[#This Row],[Closing]]+J278,"")</f>
        <v/>
      </c>
    </row>
    <row r="279" spans="10:13" x14ac:dyDescent="0.25">
      <c r="J279">
        <v>2.7799999999999998E-2</v>
      </c>
      <c r="K279">
        <v>278</v>
      </c>
      <c r="L279" t="str">
        <f>IFERROR(Table1[[#This Row],[% change]]+J279,"")</f>
        <v/>
      </c>
      <c r="M279" t="str">
        <f>IFERROR(Table1[[#This Row],[Volume]]*Table1[[#This Row],[Closing]]+J279,"")</f>
        <v/>
      </c>
    </row>
    <row r="280" spans="10:13" x14ac:dyDescent="0.25">
      <c r="J280">
        <v>2.7900000000000001E-2</v>
      </c>
      <c r="K280">
        <v>279</v>
      </c>
      <c r="L280" t="str">
        <f>IFERROR(Table1[[#This Row],[% change]]+J280,"")</f>
        <v/>
      </c>
      <c r="M280" t="str">
        <f>IFERROR(Table1[[#This Row],[Volume]]*Table1[[#This Row],[Closing]]+J280,"")</f>
        <v/>
      </c>
    </row>
    <row r="281" spans="10:13" x14ac:dyDescent="0.25">
      <c r="J281">
        <v>2.8000000000000001E-2</v>
      </c>
      <c r="K281">
        <v>280</v>
      </c>
      <c r="L281" t="str">
        <f>IFERROR(Table1[[#This Row],[% change]]+J281,"")</f>
        <v/>
      </c>
      <c r="M281" t="str">
        <f>IFERROR(Table1[[#This Row],[Volume]]*Table1[[#This Row],[Closing]]+J281,"")</f>
        <v/>
      </c>
    </row>
    <row r="282" spans="10:13" x14ac:dyDescent="0.25">
      <c r="J282">
        <v>2.81E-2</v>
      </c>
      <c r="K282">
        <v>281</v>
      </c>
      <c r="L282" t="str">
        <f>IFERROR(Table1[[#This Row],[% change]]+J282,"")</f>
        <v/>
      </c>
      <c r="M282" t="str">
        <f>IFERROR(Table1[[#This Row],[Volume]]*Table1[[#This Row],[Closing]]+J282,"")</f>
        <v/>
      </c>
    </row>
    <row r="283" spans="10:13" x14ac:dyDescent="0.25">
      <c r="J283">
        <v>2.8199999999999999E-2</v>
      </c>
      <c r="K283">
        <v>282</v>
      </c>
      <c r="L283" t="str">
        <f>IFERROR(Table1[[#This Row],[% change]]+J283,"")</f>
        <v/>
      </c>
      <c r="M283" t="str">
        <f>IFERROR(Table1[[#This Row],[Volume]]*Table1[[#This Row],[Closing]]+J283,"")</f>
        <v/>
      </c>
    </row>
    <row r="284" spans="10:13" x14ac:dyDescent="0.25">
      <c r="J284">
        <v>2.8299999999999999E-2</v>
      </c>
      <c r="K284">
        <v>283</v>
      </c>
      <c r="L284" t="str">
        <f>IFERROR(Table1[[#This Row],[% change]]+J284,"")</f>
        <v/>
      </c>
      <c r="M284" t="str">
        <f>IFERROR(Table1[[#This Row],[Volume]]*Table1[[#This Row],[Closing]]+J284,"")</f>
        <v/>
      </c>
    </row>
    <row r="285" spans="10:13" x14ac:dyDescent="0.25">
      <c r="J285">
        <v>2.8400000000000002E-2</v>
      </c>
      <c r="K285">
        <v>284</v>
      </c>
      <c r="L285" t="str">
        <f>IFERROR(Table1[[#This Row],[% change]]+J285,"")</f>
        <v/>
      </c>
      <c r="M285" t="str">
        <f>IFERROR(Table1[[#This Row],[Volume]]*Table1[[#This Row],[Closing]]+J285,"")</f>
        <v/>
      </c>
    </row>
    <row r="286" spans="10:13" x14ac:dyDescent="0.25">
      <c r="J286">
        <v>2.8500000000000001E-2</v>
      </c>
      <c r="K286">
        <v>285</v>
      </c>
      <c r="L286" t="str">
        <f>IFERROR(Table1[[#This Row],[% change]]+J286,"")</f>
        <v/>
      </c>
      <c r="M286" t="str">
        <f>IFERROR(Table1[[#This Row],[Volume]]*Table1[[#This Row],[Closing]]+J286,"")</f>
        <v/>
      </c>
    </row>
    <row r="287" spans="10:13" x14ac:dyDescent="0.25">
      <c r="J287">
        <v>2.86E-2</v>
      </c>
      <c r="K287">
        <v>286</v>
      </c>
      <c r="L287" t="str">
        <f>IFERROR(Table1[[#This Row],[% change]]+J287,"")</f>
        <v/>
      </c>
      <c r="M287" t="str">
        <f>IFERROR(Table1[[#This Row],[Volume]]*Table1[[#This Row],[Closing]]+J287,"")</f>
        <v/>
      </c>
    </row>
    <row r="288" spans="10:13" x14ac:dyDescent="0.25">
      <c r="J288">
        <v>2.87E-2</v>
      </c>
      <c r="K288">
        <v>287</v>
      </c>
      <c r="L288" t="str">
        <f>IFERROR(Table1[[#This Row],[% change]]+J288,"")</f>
        <v/>
      </c>
      <c r="M288" t="str">
        <f>IFERROR(Table1[[#This Row],[Volume]]*Table1[[#This Row],[Closing]]+J288,"")</f>
        <v/>
      </c>
    </row>
    <row r="289" spans="10:13" x14ac:dyDescent="0.25">
      <c r="J289">
        <v>2.8799999999999999E-2</v>
      </c>
      <c r="K289">
        <v>288</v>
      </c>
      <c r="L289" t="str">
        <f>IFERROR(Table1[[#This Row],[% change]]+J289,"")</f>
        <v/>
      </c>
      <c r="M289" t="str">
        <f>IFERROR(Table1[[#This Row],[Volume]]*Table1[[#This Row],[Closing]]+J289,"")</f>
        <v/>
      </c>
    </row>
    <row r="290" spans="10:13" x14ac:dyDescent="0.25">
      <c r="J290">
        <v>2.8899999999999999E-2</v>
      </c>
      <c r="K290">
        <v>289</v>
      </c>
      <c r="L290" t="str">
        <f>IFERROR(Table1[[#This Row],[% change]]+J290,"")</f>
        <v/>
      </c>
      <c r="M290" t="str">
        <f>IFERROR(Table1[[#This Row],[Volume]]*Table1[[#This Row],[Closing]]+J290,"")</f>
        <v/>
      </c>
    </row>
    <row r="291" spans="10:13" x14ac:dyDescent="0.25">
      <c r="J291">
        <v>2.9000000000000001E-2</v>
      </c>
      <c r="K291">
        <v>290</v>
      </c>
      <c r="L291" t="str">
        <f>IFERROR(Table1[[#This Row],[% change]]+J291,"")</f>
        <v/>
      </c>
      <c r="M291" t="str">
        <f>IFERROR(Table1[[#This Row],[Volume]]*Table1[[#This Row],[Closing]]+J291,"")</f>
        <v/>
      </c>
    </row>
    <row r="292" spans="10:13" x14ac:dyDescent="0.25">
      <c r="J292">
        <v>2.9100000000000001E-2</v>
      </c>
      <c r="K292">
        <v>291</v>
      </c>
      <c r="L292" t="str">
        <f>IFERROR(Table1[[#This Row],[% change]]+J292,"")</f>
        <v/>
      </c>
      <c r="M292" t="str">
        <f>IFERROR(Table1[[#This Row],[Volume]]*Table1[[#This Row],[Closing]]+J292,"")</f>
        <v/>
      </c>
    </row>
    <row r="293" spans="10:13" x14ac:dyDescent="0.25">
      <c r="J293">
        <v>2.92E-2</v>
      </c>
      <c r="K293">
        <v>292</v>
      </c>
      <c r="L293" t="str">
        <f>IFERROR(Table1[[#This Row],[% change]]+J293,"")</f>
        <v/>
      </c>
      <c r="M293" t="str">
        <f>IFERROR(Table1[[#This Row],[Volume]]*Table1[[#This Row],[Closing]]+J293,"")</f>
        <v/>
      </c>
    </row>
    <row r="294" spans="10:13" x14ac:dyDescent="0.25">
      <c r="J294">
        <v>2.93E-2</v>
      </c>
      <c r="K294">
        <v>293</v>
      </c>
      <c r="L294" t="str">
        <f>IFERROR(Table1[[#This Row],[% change]]+J294,"")</f>
        <v/>
      </c>
      <c r="M294" t="str">
        <f>IFERROR(Table1[[#This Row],[Volume]]*Table1[[#This Row],[Closing]]+J294,"")</f>
        <v/>
      </c>
    </row>
    <row r="295" spans="10:13" x14ac:dyDescent="0.25">
      <c r="J295">
        <v>2.9399999999999999E-2</v>
      </c>
      <c r="K295">
        <v>294</v>
      </c>
      <c r="L295" t="str">
        <f>IFERROR(Table1[[#This Row],[% change]]+J295,"")</f>
        <v/>
      </c>
      <c r="M295" t="str">
        <f>IFERROR(Table1[[#This Row],[Volume]]*Table1[[#This Row],[Closing]]+J295,"")</f>
        <v/>
      </c>
    </row>
    <row r="296" spans="10:13" x14ac:dyDescent="0.25">
      <c r="J296">
        <v>2.9499999999999998E-2</v>
      </c>
      <c r="K296">
        <v>295</v>
      </c>
      <c r="L296" t="str">
        <f>IFERROR(Table1[[#This Row],[% change]]+J296,"")</f>
        <v/>
      </c>
      <c r="M296" t="str">
        <f>IFERROR(Table1[[#This Row],[Volume]]*Table1[[#This Row],[Closing]]+J296,"")</f>
        <v/>
      </c>
    </row>
    <row r="297" spans="10:13" x14ac:dyDescent="0.25">
      <c r="J297">
        <v>2.9600000000000001E-2</v>
      </c>
      <c r="K297">
        <v>296</v>
      </c>
      <c r="L297" t="str">
        <f>IFERROR(Table1[[#This Row],[% change]]+J297,"")</f>
        <v/>
      </c>
      <c r="M297" t="str">
        <f>IFERROR(Table1[[#This Row],[Volume]]*Table1[[#This Row],[Closing]]+J297,"")</f>
        <v/>
      </c>
    </row>
    <row r="298" spans="10:13" x14ac:dyDescent="0.25">
      <c r="J298">
        <v>2.9700000000000001E-2</v>
      </c>
      <c r="K298">
        <v>297</v>
      </c>
      <c r="L298" t="str">
        <f>IFERROR(Table1[[#This Row],[% change]]+J298,"")</f>
        <v/>
      </c>
      <c r="M298" t="str">
        <f>IFERROR(Table1[[#This Row],[Volume]]*Table1[[#This Row],[Closing]]+J298,"")</f>
        <v/>
      </c>
    </row>
    <row r="299" spans="10:13" x14ac:dyDescent="0.25">
      <c r="J299">
        <v>2.98E-2</v>
      </c>
      <c r="K299">
        <v>298</v>
      </c>
      <c r="L299" t="str">
        <f>IFERROR(Table1[[#This Row],[% change]]+J299,"")</f>
        <v/>
      </c>
      <c r="M299" t="str">
        <f>IFERROR(Table1[[#This Row],[Volume]]*Table1[[#This Row],[Closing]]+J299,"")</f>
        <v/>
      </c>
    </row>
    <row r="300" spans="10:13" x14ac:dyDescent="0.25">
      <c r="J300">
        <v>2.9899999999999999E-2</v>
      </c>
      <c r="K300">
        <v>299</v>
      </c>
      <c r="L300" t="str">
        <f>IFERROR(Table1[[#This Row],[% change]]+J300,"")</f>
        <v/>
      </c>
      <c r="M300" t="str">
        <f>IFERROR(Table1[[#This Row],[Volume]]*Table1[[#This Row],[Closing]]+J300,"")</f>
        <v/>
      </c>
    </row>
    <row r="301" spans="10:13" x14ac:dyDescent="0.25">
      <c r="J301">
        <v>0.03</v>
      </c>
      <c r="K301">
        <v>300</v>
      </c>
      <c r="L301" t="str">
        <f>IFERROR(Table1[[#This Row],[% change]]+J301,"")</f>
        <v/>
      </c>
      <c r="M301" t="str">
        <f>IFERROR(Table1[[#This Row],[Volume]]*Table1[[#This Row],[Closing]]+J301,"")</f>
        <v/>
      </c>
    </row>
    <row r="302" spans="10:13" x14ac:dyDescent="0.25">
      <c r="J302">
        <v>3.0099999999999998E-2</v>
      </c>
      <c r="K302">
        <v>301</v>
      </c>
      <c r="L302" t="str">
        <f>IFERROR(Table1[[#This Row],[% change]]+J302,"")</f>
        <v/>
      </c>
      <c r="M302" t="str">
        <f>IFERROR(Table1[[#This Row],[Volume]]*Table1[[#This Row],[Closing]]+J302,"")</f>
        <v/>
      </c>
    </row>
    <row r="303" spans="10:13" x14ac:dyDescent="0.25">
      <c r="J303">
        <v>3.0200000000000001E-2</v>
      </c>
      <c r="K303">
        <v>302</v>
      </c>
      <c r="L303" t="str">
        <f>IFERROR(Table1[[#This Row],[% change]]+J303,"")</f>
        <v/>
      </c>
      <c r="M303" t="str">
        <f>IFERROR(Table1[[#This Row],[Volume]]*Table1[[#This Row],[Closing]]+J303,"")</f>
        <v/>
      </c>
    </row>
    <row r="304" spans="10:13" x14ac:dyDescent="0.25">
      <c r="J304">
        <v>3.0300000000000001E-2</v>
      </c>
      <c r="K304">
        <v>303</v>
      </c>
      <c r="L304" t="str">
        <f>IFERROR(Table1[[#This Row],[% change]]+J304,"")</f>
        <v/>
      </c>
      <c r="M304" t="str">
        <f>IFERROR(Table1[[#This Row],[Volume]]*Table1[[#This Row],[Closing]]+J304,"")</f>
        <v/>
      </c>
    </row>
    <row r="305" spans="10:13" x14ac:dyDescent="0.25">
      <c r="J305">
        <v>3.04E-2</v>
      </c>
      <c r="K305">
        <v>304</v>
      </c>
      <c r="L305" t="str">
        <f>IFERROR(Table1[[#This Row],[% change]]+J305,"")</f>
        <v/>
      </c>
      <c r="M305" t="str">
        <f>IFERROR(Table1[[#This Row],[Volume]]*Table1[[#This Row],[Closing]]+J305,"")</f>
        <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EFE50-8D91-4DE4-AD70-321A329AF364}">
  <sheetPr codeName="Sheet10">
    <tabColor theme="2" tint="-0.89999084444715716"/>
  </sheetPr>
  <dimension ref="A1:AF40"/>
  <sheetViews>
    <sheetView showGridLines="0" showRowColHeaders="0" zoomScaleNormal="100" workbookViewId="0">
      <selection activeCell="G25" sqref="G25"/>
    </sheetView>
  </sheetViews>
  <sheetFormatPr defaultColWidth="0" defaultRowHeight="15" x14ac:dyDescent="0.25"/>
  <cols>
    <col min="1" max="1" width="3.7109375" customWidth="1"/>
    <col min="2" max="2" width="1.42578125" customWidth="1"/>
    <col min="3" max="8" width="8.7109375" customWidth="1"/>
    <col min="9" max="11" width="1.42578125" customWidth="1"/>
    <col min="12" max="19" width="8.7109375" customWidth="1"/>
    <col min="20" max="22" width="1.42578125" customWidth="1"/>
    <col min="23" max="28" width="8.7109375" customWidth="1"/>
    <col min="29" max="30" width="1.42578125" customWidth="1"/>
    <col min="31" max="32" width="3" customWidth="1"/>
    <col min="33" max="16384" width="9.140625" hidden="1"/>
  </cols>
  <sheetData>
    <row r="1" spans="1:32" ht="15.75" customHeight="1" x14ac:dyDescent="0.25">
      <c r="A1" s="27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row>
    <row r="2" spans="1:32" ht="21.75" customHeight="1" x14ac:dyDescent="0.25">
      <c r="A2" s="30"/>
      <c r="B2" s="30"/>
      <c r="C2" s="30"/>
      <c r="D2" s="555" t="str">
        <f>'1-Tranche'!D2:E2</f>
        <v>Trial Version</v>
      </c>
      <c r="E2" s="555"/>
      <c r="F2" s="555"/>
      <c r="G2" s="555"/>
      <c r="H2" s="30"/>
      <c r="I2" s="30"/>
      <c r="J2" s="30"/>
      <c r="K2" s="30"/>
      <c r="L2" s="30"/>
      <c r="M2" s="30"/>
      <c r="N2" s="30"/>
      <c r="O2" s="30"/>
      <c r="P2" s="30"/>
      <c r="Q2" s="30"/>
      <c r="R2" s="30"/>
      <c r="S2" s="30"/>
      <c r="T2" s="30"/>
      <c r="U2" s="30"/>
      <c r="V2" s="30"/>
      <c r="W2" s="30"/>
      <c r="X2" s="30"/>
      <c r="Y2" s="30"/>
      <c r="Z2" s="30"/>
      <c r="AA2" s="30"/>
      <c r="AB2" s="30"/>
      <c r="AC2" s="30"/>
      <c r="AD2" s="30"/>
      <c r="AE2" s="30"/>
      <c r="AF2" s="30"/>
    </row>
    <row r="3" spans="1:32" x14ac:dyDescent="0.25">
      <c r="A3" s="30"/>
      <c r="B3" s="30"/>
      <c r="C3" s="30"/>
      <c r="D3" s="555"/>
      <c r="E3" s="555"/>
      <c r="F3" s="555"/>
      <c r="G3" s="555"/>
      <c r="H3" s="30"/>
      <c r="I3" s="30"/>
      <c r="J3" s="30"/>
      <c r="K3" s="30"/>
      <c r="L3" s="30"/>
      <c r="M3" s="30"/>
      <c r="N3" s="30"/>
      <c r="O3" s="30"/>
      <c r="P3" s="30"/>
      <c r="Q3" s="30"/>
      <c r="R3" s="30"/>
      <c r="S3" s="30"/>
      <c r="T3" s="30"/>
      <c r="U3" s="30"/>
      <c r="V3" s="30"/>
      <c r="W3" s="30"/>
      <c r="X3" s="30"/>
      <c r="Y3" s="30"/>
      <c r="Z3" s="30"/>
      <c r="AA3" s="30"/>
      <c r="AB3" s="30"/>
      <c r="AC3" s="30"/>
      <c r="AD3" s="30"/>
      <c r="AE3" s="30"/>
      <c r="AF3" s="30"/>
    </row>
    <row r="4" spans="1:32" x14ac:dyDescent="0.25">
      <c r="A4" s="30"/>
      <c r="B4" s="30"/>
      <c r="C4" s="30"/>
      <c r="D4" s="556" t="s">
        <v>628</v>
      </c>
      <c r="E4" s="556"/>
      <c r="F4" s="556"/>
      <c r="G4" s="556"/>
      <c r="H4" s="30"/>
      <c r="I4" s="30"/>
      <c r="J4" s="30"/>
      <c r="K4" s="30"/>
      <c r="L4" s="30"/>
      <c r="M4" s="30"/>
      <c r="N4" s="30"/>
      <c r="O4" s="30"/>
      <c r="P4" s="30"/>
      <c r="Q4" s="30"/>
      <c r="R4" s="30"/>
      <c r="S4" s="30"/>
      <c r="T4" s="30"/>
      <c r="U4" s="30"/>
      <c r="V4" s="30"/>
      <c r="W4" s="30"/>
      <c r="X4" s="30"/>
      <c r="Y4" s="30"/>
      <c r="Z4" s="30"/>
      <c r="AA4" s="30"/>
      <c r="AB4" s="30"/>
      <c r="AC4" s="30"/>
      <c r="AD4" s="30"/>
      <c r="AE4" s="30"/>
      <c r="AF4" s="30"/>
    </row>
    <row r="5" spans="1:32" ht="7.5" customHeight="1" x14ac:dyDescent="0.2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ht="22.5" customHeight="1" x14ac:dyDescent="0.3">
      <c r="A6" s="335"/>
      <c r="B6" s="336"/>
      <c r="C6" s="559" t="s">
        <v>599</v>
      </c>
      <c r="D6" s="559"/>
      <c r="E6" s="559"/>
      <c r="F6" s="559"/>
      <c r="G6" s="559"/>
      <c r="H6" s="559"/>
      <c r="I6" s="337"/>
      <c r="J6" s="335"/>
      <c r="K6" s="336"/>
      <c r="L6" s="559" t="s">
        <v>601</v>
      </c>
      <c r="M6" s="559"/>
      <c r="N6" s="559"/>
      <c r="O6" s="559"/>
      <c r="P6" s="559"/>
      <c r="Q6" s="559"/>
      <c r="R6" s="336"/>
      <c r="S6" s="336"/>
      <c r="T6" s="336"/>
      <c r="U6" s="335"/>
      <c r="V6" s="336"/>
      <c r="W6" s="559" t="s">
        <v>198</v>
      </c>
      <c r="X6" s="559"/>
      <c r="Y6" s="559"/>
      <c r="Z6" s="559"/>
      <c r="AA6" s="559"/>
      <c r="AB6" s="559"/>
      <c r="AC6" s="336"/>
      <c r="AD6" s="335"/>
      <c r="AE6" s="335"/>
      <c r="AF6" s="335"/>
    </row>
    <row r="7" spans="1:32" ht="18.75" x14ac:dyDescent="0.3">
      <c r="A7" s="30"/>
      <c r="B7" s="309"/>
      <c r="C7" s="545" t="s">
        <v>185</v>
      </c>
      <c r="D7" s="545"/>
      <c r="E7" s="545"/>
      <c r="F7" s="560">
        <v>100000</v>
      </c>
      <c r="G7" s="560"/>
      <c r="H7" s="560"/>
      <c r="I7" s="319"/>
      <c r="J7" s="30"/>
      <c r="K7" s="309"/>
      <c r="L7" s="309"/>
      <c r="M7" s="309"/>
      <c r="N7" s="309"/>
      <c r="O7" s="309"/>
      <c r="P7" s="309"/>
      <c r="Q7" s="309"/>
      <c r="R7" s="309"/>
      <c r="S7" s="309"/>
      <c r="T7" s="309"/>
      <c r="U7" s="30"/>
      <c r="V7" s="309"/>
      <c r="W7" s="309"/>
      <c r="X7" s="309"/>
      <c r="Y7" s="309"/>
      <c r="Z7" s="427" t="str">
        <f>RBAF!E5</f>
        <v># of Trades to Gain 52.2%:</v>
      </c>
      <c r="AA7" s="554" t="str">
        <f>RBAF!F5</f>
        <v>51 trades</v>
      </c>
      <c r="AB7" s="554"/>
      <c r="AC7" s="309"/>
      <c r="AD7" s="30"/>
      <c r="AE7" s="441">
        <f>RBAF!F18</f>
        <v>0.52200000000000002</v>
      </c>
      <c r="AF7" s="30"/>
    </row>
    <row r="8" spans="1:32" ht="18.75" x14ac:dyDescent="0.3">
      <c r="A8" s="30"/>
      <c r="B8" s="309"/>
      <c r="C8" s="545" t="s">
        <v>656</v>
      </c>
      <c r="D8" s="545"/>
      <c r="E8" s="545"/>
      <c r="F8" s="550">
        <v>0.4</v>
      </c>
      <c r="G8" s="550"/>
      <c r="H8" s="550"/>
      <c r="I8" s="320"/>
      <c r="J8" s="30"/>
      <c r="K8" s="309"/>
      <c r="L8" s="309"/>
      <c r="M8" s="309"/>
      <c r="N8" s="309"/>
      <c r="O8" s="309"/>
      <c r="P8" s="309"/>
      <c r="Q8" s="309"/>
      <c r="R8" s="309"/>
      <c r="S8" s="309"/>
      <c r="T8" s="309"/>
      <c r="U8" s="30"/>
      <c r="V8" s="309"/>
      <c r="W8" s="309"/>
      <c r="X8" s="309"/>
      <c r="Y8" s="325"/>
      <c r="Z8" s="427" t="str">
        <f>RBAF!E14</f>
        <v>Expectancy Per Trade:</v>
      </c>
      <c r="AA8" s="539" t="str">
        <f>TEXT(RBAF!F14,"0.00")&amp;" ("&amp;TEXT(RBAF!F15,"0.00%")&amp;")"</f>
        <v>975.00 (65.00%)</v>
      </c>
      <c r="AB8" s="539"/>
      <c r="AC8" s="309"/>
      <c r="AD8" s="30"/>
      <c r="AE8" s="442">
        <f ca="1">MAX(Expectancy!M17:M116)*1.02</f>
        <v>343916.04927610239</v>
      </c>
      <c r="AF8" s="30"/>
    </row>
    <row r="9" spans="1:32" ht="18.75" x14ac:dyDescent="0.3">
      <c r="A9" s="30"/>
      <c r="B9" s="309"/>
      <c r="C9" s="545" t="s">
        <v>658</v>
      </c>
      <c r="D9" s="545"/>
      <c r="E9" s="545"/>
      <c r="F9" s="561">
        <v>0.01</v>
      </c>
      <c r="G9" s="561"/>
      <c r="H9" s="561"/>
      <c r="I9" s="320"/>
      <c r="J9" s="30"/>
      <c r="K9" s="309"/>
      <c r="L9" s="309"/>
      <c r="M9" s="309"/>
      <c r="N9" s="309"/>
      <c r="O9" s="309"/>
      <c r="P9" s="309"/>
      <c r="Q9" s="309"/>
      <c r="R9" s="309"/>
      <c r="S9" s="309"/>
      <c r="T9" s="309"/>
      <c r="U9" s="30"/>
      <c r="V9" s="309"/>
      <c r="W9" s="309"/>
      <c r="X9" s="309"/>
      <c r="Y9" s="309"/>
      <c r="Z9" s="338" t="s">
        <v>363</v>
      </c>
      <c r="AA9" s="540" t="str">
        <f>RBAF!F12</f>
        <v>1 : 1.87</v>
      </c>
      <c r="AB9" s="540"/>
      <c r="AC9" s="309"/>
      <c r="AD9" s="30"/>
      <c r="AE9" s="442">
        <f ca="1">MIN(Expectancy!M17:M116)*0.98</f>
        <v>96530</v>
      </c>
      <c r="AF9" s="30"/>
    </row>
    <row r="10" spans="1:32" ht="15.75" x14ac:dyDescent="0.25">
      <c r="A10" s="30"/>
      <c r="B10" s="309"/>
      <c r="C10" s="315"/>
      <c r="D10" s="316"/>
      <c r="E10" s="434">
        <f>IFERROR((Equity*RiskPerTrade)/(Equity*PositionPer),"")</f>
        <v>2.5000000000000001E-2</v>
      </c>
      <c r="F10" s="432"/>
      <c r="G10" s="433"/>
      <c r="H10" s="433"/>
      <c r="I10" s="309"/>
      <c r="J10" s="30"/>
      <c r="K10" s="309"/>
      <c r="L10" s="309"/>
      <c r="M10" s="309"/>
      <c r="N10" s="309"/>
      <c r="O10" s="309"/>
      <c r="P10" s="309"/>
      <c r="Q10" s="309"/>
      <c r="R10" s="309"/>
      <c r="S10" s="309"/>
      <c r="T10" s="309"/>
      <c r="U10" s="30"/>
      <c r="V10" s="309"/>
      <c r="W10" s="309"/>
      <c r="X10" s="309"/>
      <c r="Y10" s="309"/>
      <c r="Z10" s="309"/>
      <c r="AA10" s="309"/>
      <c r="AB10" s="309"/>
      <c r="AC10" s="309"/>
      <c r="AD10" s="30"/>
      <c r="AE10" s="30"/>
      <c r="AF10" s="30"/>
    </row>
    <row r="11" spans="1:32" ht="22.5" customHeight="1" x14ac:dyDescent="0.25">
      <c r="A11" s="314"/>
      <c r="B11" s="318"/>
      <c r="C11" s="549" t="s">
        <v>600</v>
      </c>
      <c r="D11" s="549"/>
      <c r="E11" s="549"/>
      <c r="F11" s="549"/>
      <c r="G11" s="549"/>
      <c r="H11" s="549"/>
      <c r="I11" s="317"/>
      <c r="J11" s="30"/>
      <c r="K11" s="309"/>
      <c r="L11" s="318"/>
      <c r="M11" s="318"/>
      <c r="N11" s="318"/>
      <c r="O11" s="318"/>
      <c r="P11" s="318"/>
      <c r="Q11" s="318"/>
      <c r="R11" s="318"/>
      <c r="S11" s="318"/>
      <c r="T11" s="318"/>
      <c r="U11" s="314"/>
      <c r="V11" s="318"/>
      <c r="W11" s="549" t="s">
        <v>625</v>
      </c>
      <c r="X11" s="549"/>
      <c r="Y11" s="549"/>
      <c r="Z11" s="549"/>
      <c r="AA11" s="549"/>
      <c r="AB11" s="549"/>
      <c r="AC11" s="318"/>
      <c r="AD11" s="314"/>
      <c r="AE11" s="314"/>
      <c r="AF11" s="314"/>
    </row>
    <row r="12" spans="1:32" ht="18.75" x14ac:dyDescent="0.3">
      <c r="A12" s="30"/>
      <c r="B12" s="309"/>
      <c r="C12" s="545" t="s">
        <v>189</v>
      </c>
      <c r="D12" s="545"/>
      <c r="E12" s="545"/>
      <c r="F12" s="553">
        <v>0.25</v>
      </c>
      <c r="G12" s="553"/>
      <c r="H12" s="553"/>
      <c r="I12" s="321"/>
      <c r="J12" s="30"/>
      <c r="K12" s="309"/>
      <c r="L12" s="309"/>
      <c r="M12" s="309"/>
      <c r="N12" s="309"/>
      <c r="O12" s="309"/>
      <c r="P12" s="309"/>
      <c r="Q12" s="309"/>
      <c r="R12" s="309"/>
      <c r="S12" s="309"/>
      <c r="T12" s="309"/>
      <c r="U12" s="30"/>
      <c r="V12" s="309"/>
      <c r="W12" s="318"/>
      <c r="X12" s="318"/>
      <c r="Y12" s="318"/>
      <c r="Z12" s="325" t="s">
        <v>603</v>
      </c>
      <c r="AA12" s="541" t="str">
        <f>RBAF!M6</f>
        <v>1 : 3.20</v>
      </c>
      <c r="AB12" s="541"/>
      <c r="AC12" s="309"/>
      <c r="AD12" s="30"/>
      <c r="AE12" s="30"/>
      <c r="AF12" s="30"/>
    </row>
    <row r="13" spans="1:32" ht="18.75" x14ac:dyDescent="0.3">
      <c r="A13" s="30"/>
      <c r="B13" s="309"/>
      <c r="C13" s="545" t="s">
        <v>190</v>
      </c>
      <c r="D13" s="545"/>
      <c r="E13" s="545"/>
      <c r="F13" s="562">
        <v>0.12</v>
      </c>
      <c r="G13" s="562"/>
      <c r="H13" s="562"/>
      <c r="I13" s="322"/>
      <c r="J13" s="30"/>
      <c r="K13" s="309"/>
      <c r="L13" s="309"/>
      <c r="M13" s="309"/>
      <c r="N13" s="309"/>
      <c r="O13" s="309"/>
      <c r="P13" s="309"/>
      <c r="Q13" s="309"/>
      <c r="R13" s="309"/>
      <c r="S13" s="309"/>
      <c r="T13" s="309"/>
      <c r="U13" s="30"/>
      <c r="V13" s="309"/>
      <c r="W13" s="329"/>
      <c r="X13" s="329"/>
      <c r="Y13" s="329"/>
      <c r="Z13" s="325" t="s">
        <v>624</v>
      </c>
      <c r="AA13" s="541">
        <f>RBAF!M7</f>
        <v>0.23809523809523808</v>
      </c>
      <c r="AB13" s="541"/>
      <c r="AC13" s="309"/>
      <c r="AD13" s="30"/>
      <c r="AE13" s="30"/>
      <c r="AF13" s="30"/>
    </row>
    <row r="14" spans="1:32" ht="18.75" x14ac:dyDescent="0.3">
      <c r="A14" s="30"/>
      <c r="B14" s="309"/>
      <c r="C14" s="545" t="s">
        <v>191</v>
      </c>
      <c r="D14" s="545"/>
      <c r="E14" s="545"/>
      <c r="F14" s="548">
        <v>-3.7499999999999999E-2</v>
      </c>
      <c r="G14" s="548"/>
      <c r="H14" s="548"/>
      <c r="I14" s="323"/>
      <c r="J14" s="30"/>
      <c r="K14" s="309"/>
      <c r="L14" s="309"/>
      <c r="M14" s="309"/>
      <c r="N14" s="309"/>
      <c r="O14" s="309"/>
      <c r="P14" s="309"/>
      <c r="Q14" s="309"/>
      <c r="R14" s="309"/>
      <c r="S14" s="309"/>
      <c r="T14" s="309"/>
      <c r="U14" s="30"/>
      <c r="V14" s="309"/>
      <c r="W14" s="309"/>
      <c r="X14" s="309"/>
      <c r="Y14" s="309"/>
      <c r="Z14" s="325" t="s">
        <v>629</v>
      </c>
      <c r="AA14" s="541">
        <f>RBAF!M8</f>
        <v>0.38461538461538458</v>
      </c>
      <c r="AB14" s="541"/>
      <c r="AC14" s="309"/>
      <c r="AD14" s="30"/>
      <c r="AE14" s="30"/>
      <c r="AF14" s="30"/>
    </row>
    <row r="15" spans="1:32" ht="18.75" customHeight="1" x14ac:dyDescent="0.3">
      <c r="A15" s="30"/>
      <c r="B15" s="309"/>
      <c r="C15" s="544" t="s">
        <v>676</v>
      </c>
      <c r="D15" s="544"/>
      <c r="E15" s="544"/>
      <c r="F15" s="550">
        <v>0.7</v>
      </c>
      <c r="G15" s="550"/>
      <c r="H15" s="550"/>
      <c r="I15" s="321"/>
      <c r="J15" s="30"/>
      <c r="K15" s="309"/>
      <c r="L15" s="309"/>
      <c r="M15" s="309"/>
      <c r="N15" s="309"/>
      <c r="O15" s="309"/>
      <c r="P15" s="309"/>
      <c r="Q15" s="309"/>
      <c r="R15" s="309"/>
      <c r="S15" s="309"/>
      <c r="T15" s="309"/>
      <c r="U15" s="30"/>
      <c r="V15" s="309"/>
      <c r="W15" s="309"/>
      <c r="X15" s="309"/>
      <c r="Y15" s="309"/>
      <c r="Z15" s="309"/>
      <c r="AA15" s="309"/>
      <c r="AB15" s="309"/>
      <c r="AC15" s="309"/>
      <c r="AD15" s="30"/>
      <c r="AE15" s="30"/>
      <c r="AF15" s="30"/>
    </row>
    <row r="16" spans="1:32" ht="18.75" x14ac:dyDescent="0.3">
      <c r="A16" s="30"/>
      <c r="B16" s="309"/>
      <c r="C16" s="544" t="s">
        <v>677</v>
      </c>
      <c r="D16" s="544"/>
      <c r="E16" s="544"/>
      <c r="F16" s="551">
        <v>0.4</v>
      </c>
      <c r="G16" s="551"/>
      <c r="H16" s="551"/>
      <c r="I16" s="321"/>
      <c r="J16" s="30"/>
      <c r="K16" s="309"/>
      <c r="L16" s="309"/>
      <c r="M16" s="309"/>
      <c r="N16" s="309"/>
      <c r="O16" s="309"/>
      <c r="P16" s="309"/>
      <c r="Q16" s="309"/>
      <c r="R16" s="309"/>
      <c r="S16" s="309"/>
      <c r="T16" s="309"/>
      <c r="U16" s="30"/>
      <c r="V16" s="309"/>
      <c r="W16" s="558" t="s">
        <v>626</v>
      </c>
      <c r="X16" s="558"/>
      <c r="Y16" s="558"/>
      <c r="Z16" s="558"/>
      <c r="AA16" s="558"/>
      <c r="AB16" s="558"/>
      <c r="AC16" s="309"/>
      <c r="AD16" s="30"/>
      <c r="AE16" s="30"/>
      <c r="AF16" s="30"/>
    </row>
    <row r="17" spans="1:32" ht="18.75" x14ac:dyDescent="0.3">
      <c r="A17" s="30"/>
      <c r="B17" s="309"/>
      <c r="C17" s="315"/>
      <c r="D17" s="316"/>
      <c r="E17" s="316"/>
      <c r="F17" s="309"/>
      <c r="G17" s="309"/>
      <c r="H17" s="309"/>
      <c r="I17" s="309"/>
      <c r="J17" s="30"/>
      <c r="K17" s="309"/>
      <c r="L17" s="309"/>
      <c r="M17" s="326"/>
      <c r="N17" s="328" t="s">
        <v>443</v>
      </c>
      <c r="O17" s="546">
        <f ca="1">Expectancy!G10</f>
        <v>141796.12820611644</v>
      </c>
      <c r="P17" s="546"/>
      <c r="Q17" s="546"/>
      <c r="R17" s="309"/>
      <c r="S17" s="309"/>
      <c r="T17" s="309"/>
      <c r="U17" s="30"/>
      <c r="V17" s="309"/>
      <c r="W17" s="557" t="str">
        <f>"A Win Rate of "&amp;TEXT(WinRate,"0.0%")&amp;", should have at least "</f>
        <v xml:space="preserve">A Win Rate of 25.0%, should have at least </v>
      </c>
      <c r="X17" s="557"/>
      <c r="Y17" s="557"/>
      <c r="Z17" s="557"/>
      <c r="AA17" s="557"/>
      <c r="AB17" s="557"/>
      <c r="AC17" s="309"/>
      <c r="AD17" s="30"/>
      <c r="AE17" s="30"/>
      <c r="AF17" s="30"/>
    </row>
    <row r="18" spans="1:32" ht="18.75" x14ac:dyDescent="0.3">
      <c r="A18" s="30"/>
      <c r="B18" s="309"/>
      <c r="C18" s="545" t="s">
        <v>678</v>
      </c>
      <c r="D18" s="545"/>
      <c r="E18" s="545"/>
      <c r="F18" s="552">
        <v>0.5</v>
      </c>
      <c r="G18" s="552"/>
      <c r="H18" s="552"/>
      <c r="I18" s="324"/>
      <c r="J18" s="30"/>
      <c r="K18" s="309"/>
      <c r="L18" s="309"/>
      <c r="M18" s="326"/>
      <c r="N18" s="328" t="s">
        <v>461</v>
      </c>
      <c r="O18" s="547">
        <f ca="1">Expectancy!G11</f>
        <v>1.4179612820611645</v>
      </c>
      <c r="P18" s="547"/>
      <c r="Q18" s="547"/>
      <c r="R18" s="309"/>
      <c r="S18" s="309"/>
      <c r="T18" s="309"/>
      <c r="U18" s="30"/>
      <c r="V18" s="309"/>
      <c r="W18" s="542" t="str">
        <f>IFERROR(TEXT(ROUND(1/(WinRate/(1-WinRate)),1),"#0.00")&amp;" : 1","")</f>
        <v>3.00 : 1</v>
      </c>
      <c r="X18" s="542"/>
      <c r="Y18" s="334" t="s">
        <v>627</v>
      </c>
      <c r="Z18" s="333"/>
      <c r="AA18" s="333"/>
      <c r="AB18" s="333"/>
      <c r="AC18" s="309"/>
      <c r="AD18" s="30"/>
      <c r="AE18" s="30"/>
      <c r="AF18" s="30"/>
    </row>
    <row r="19" spans="1:32" ht="18.75" x14ac:dyDescent="0.3">
      <c r="A19" s="30"/>
      <c r="B19" s="309"/>
      <c r="C19" s="309"/>
      <c r="D19" s="309"/>
      <c r="E19" s="309"/>
      <c r="F19" s="309"/>
      <c r="G19" s="309"/>
      <c r="H19" s="309"/>
      <c r="I19" s="309"/>
      <c r="J19" s="30"/>
      <c r="K19" s="309"/>
      <c r="L19" s="309"/>
      <c r="M19" s="327"/>
      <c r="N19" s="328" t="s">
        <v>462</v>
      </c>
      <c r="O19" s="547">
        <f ca="1">Expectancy!G12</f>
        <v>0.97499999999999964</v>
      </c>
      <c r="P19" s="547"/>
      <c r="Q19" s="547"/>
      <c r="R19" s="309"/>
      <c r="S19" s="309"/>
      <c r="T19" s="309"/>
      <c r="U19" s="30"/>
      <c r="V19" s="309"/>
      <c r="W19" s="543" t="str">
        <f>IFERROR(TEXT(ROUND(2/(WinRate/(1-WinRate)),1),"#0.00")&amp;" : 1","")</f>
        <v>6.00 : 1</v>
      </c>
      <c r="X19" s="543"/>
      <c r="Y19" s="334" t="s">
        <v>657</v>
      </c>
      <c r="Z19" s="332"/>
      <c r="AA19" s="332"/>
      <c r="AB19" s="332"/>
      <c r="AC19" s="309"/>
      <c r="AD19" s="30"/>
      <c r="AE19" s="30"/>
      <c r="AF19" s="30"/>
    </row>
    <row r="20" spans="1:32" x14ac:dyDescent="0.25">
      <c r="A20" s="30"/>
      <c r="B20" s="309"/>
      <c r="C20" s="309"/>
      <c r="D20" s="309"/>
      <c r="E20" s="309"/>
      <c r="F20" s="309"/>
      <c r="G20" s="309"/>
      <c r="H20" s="309"/>
      <c r="I20" s="309"/>
      <c r="J20" s="30"/>
      <c r="K20" s="309"/>
      <c r="L20" s="309"/>
      <c r="M20" s="309"/>
      <c r="N20" s="309"/>
      <c r="O20" s="309"/>
      <c r="P20" s="309"/>
      <c r="Q20" s="309"/>
      <c r="R20" s="309"/>
      <c r="S20" s="309"/>
      <c r="T20" s="309"/>
      <c r="U20" s="30"/>
      <c r="V20" s="309"/>
      <c r="W20" s="309"/>
      <c r="X20" s="309"/>
      <c r="Y20" s="309"/>
      <c r="Z20" s="309"/>
      <c r="AA20" s="309"/>
      <c r="AB20" s="309"/>
      <c r="AC20" s="309"/>
      <c r="AD20" s="30"/>
      <c r="AE20" s="30"/>
      <c r="AF20" s="30"/>
    </row>
    <row r="21" spans="1:32" x14ac:dyDescent="0.25">
      <c r="A21" s="30"/>
      <c r="B21" s="309"/>
      <c r="C21" s="309"/>
      <c r="D21" s="309"/>
      <c r="E21" s="309"/>
      <c r="F21" s="309"/>
      <c r="G21" s="309"/>
      <c r="H21" s="309"/>
      <c r="I21" s="309"/>
      <c r="J21" s="30"/>
      <c r="K21" s="309"/>
      <c r="L21" s="309"/>
      <c r="M21" s="309"/>
      <c r="N21" s="309"/>
      <c r="O21" s="309"/>
      <c r="P21" s="309"/>
      <c r="Q21" s="309"/>
      <c r="R21" s="309"/>
      <c r="S21" s="309"/>
      <c r="T21" s="309"/>
      <c r="U21" s="30"/>
      <c r="V21" s="309"/>
      <c r="W21" s="309"/>
      <c r="X21" s="309"/>
      <c r="Y21" s="309"/>
      <c r="Z21" s="309"/>
      <c r="AA21" s="309"/>
      <c r="AB21" s="309"/>
      <c r="AC21" s="309"/>
      <c r="AD21" s="30"/>
      <c r="AE21" s="30"/>
      <c r="AF21" s="30"/>
    </row>
    <row r="22" spans="1:32" x14ac:dyDescent="0.25">
      <c r="A22" s="30"/>
      <c r="B22" s="309"/>
      <c r="C22" s="309"/>
      <c r="D22" s="309"/>
      <c r="E22" s="309"/>
      <c r="F22" s="309"/>
      <c r="G22" s="309"/>
      <c r="H22" s="309"/>
      <c r="I22" s="309"/>
      <c r="J22" s="30"/>
      <c r="K22" s="309"/>
      <c r="L22" s="309"/>
      <c r="M22" s="309"/>
      <c r="N22" s="309"/>
      <c r="O22" s="309"/>
      <c r="P22" s="309"/>
      <c r="Q22" s="309"/>
      <c r="R22" s="309"/>
      <c r="S22" s="309"/>
      <c r="T22" s="309"/>
      <c r="U22" s="30"/>
      <c r="V22" s="309"/>
      <c r="W22" s="309"/>
      <c r="X22" s="309"/>
      <c r="Y22" s="309"/>
      <c r="Z22" s="309"/>
      <c r="AA22" s="309"/>
      <c r="AB22" s="309"/>
      <c r="AC22" s="309"/>
      <c r="AD22" s="30"/>
      <c r="AE22" s="30"/>
      <c r="AF22" s="30"/>
    </row>
    <row r="23" spans="1:32" x14ac:dyDescent="0.25">
      <c r="A23" s="30"/>
      <c r="B23" s="309"/>
      <c r="C23" s="309"/>
      <c r="D23" s="309"/>
      <c r="E23" s="309"/>
      <c r="F23" s="309"/>
      <c r="G23" s="309"/>
      <c r="H23" s="309"/>
      <c r="I23" s="309"/>
      <c r="J23" s="30"/>
      <c r="K23" s="309"/>
      <c r="L23" s="309"/>
      <c r="M23" s="309"/>
      <c r="N23" s="309"/>
      <c r="O23" s="309"/>
      <c r="P23" s="309"/>
      <c r="Q23" s="309"/>
      <c r="R23" s="309"/>
      <c r="S23" s="309"/>
      <c r="T23" s="309"/>
      <c r="U23" s="30"/>
      <c r="V23" s="309"/>
      <c r="W23" s="309"/>
      <c r="X23" s="309"/>
      <c r="Y23" s="309"/>
      <c r="Z23" s="309"/>
      <c r="AA23" s="309"/>
      <c r="AB23" s="309"/>
      <c r="AC23" s="309"/>
      <c r="AD23" s="30"/>
      <c r="AE23" s="30"/>
      <c r="AF23" s="30"/>
    </row>
    <row r="24" spans="1:32" x14ac:dyDescent="0.25">
      <c r="A24" s="30"/>
      <c r="B24" s="309"/>
      <c r="C24" s="309"/>
      <c r="D24" s="309"/>
      <c r="E24" s="309"/>
      <c r="F24" s="309"/>
      <c r="G24" s="309"/>
      <c r="H24" s="309"/>
      <c r="I24" s="309"/>
      <c r="J24" s="30"/>
      <c r="K24" s="309"/>
      <c r="L24" s="309"/>
      <c r="M24" s="309"/>
      <c r="N24" s="309"/>
      <c r="O24" s="309"/>
      <c r="P24" s="309"/>
      <c r="Q24" s="309"/>
      <c r="R24" s="309"/>
      <c r="S24" s="309"/>
      <c r="T24" s="309"/>
      <c r="U24" s="30"/>
      <c r="V24" s="309"/>
      <c r="W24" s="309"/>
      <c r="X24" s="309"/>
      <c r="Y24" s="309"/>
      <c r="Z24" s="309"/>
      <c r="AA24" s="309"/>
      <c r="AB24" s="309"/>
      <c r="AC24" s="309"/>
      <c r="AD24" s="30"/>
      <c r="AE24" s="30"/>
      <c r="AF24" s="30"/>
    </row>
    <row r="25" spans="1:32" x14ac:dyDescent="0.25">
      <c r="A25" s="30"/>
      <c r="B25" s="309"/>
      <c r="C25" s="309"/>
      <c r="D25" s="309"/>
      <c r="E25" s="309"/>
      <c r="F25" s="309"/>
      <c r="G25" s="309"/>
      <c r="H25" s="309"/>
      <c r="I25" s="309"/>
      <c r="J25" s="30"/>
      <c r="K25" s="309"/>
      <c r="L25" s="309"/>
      <c r="M25" s="309"/>
      <c r="N25" s="309"/>
      <c r="O25" s="309"/>
      <c r="P25" s="309"/>
      <c r="Q25" s="309"/>
      <c r="R25" s="309"/>
      <c r="S25" s="309"/>
      <c r="T25" s="309"/>
      <c r="U25" s="30"/>
      <c r="V25" s="309"/>
      <c r="W25" s="309"/>
      <c r="X25" s="309"/>
      <c r="Y25" s="309"/>
      <c r="Z25" s="309"/>
      <c r="AA25" s="309"/>
      <c r="AB25" s="309"/>
      <c r="AC25" s="309"/>
      <c r="AD25" s="30"/>
      <c r="AE25" s="30"/>
      <c r="AF25" s="30"/>
    </row>
    <row r="26" spans="1:32" x14ac:dyDescent="0.25">
      <c r="A26" s="30"/>
      <c r="B26" s="309"/>
      <c r="C26" s="309"/>
      <c r="D26" s="309"/>
      <c r="E26" s="309"/>
      <c r="F26" s="309"/>
      <c r="G26" s="309"/>
      <c r="H26" s="309"/>
      <c r="I26" s="309"/>
      <c r="J26" s="30"/>
      <c r="K26" s="309"/>
      <c r="L26" s="309"/>
      <c r="M26" s="309"/>
      <c r="N26" s="309"/>
      <c r="O26" s="309"/>
      <c r="P26" s="309"/>
      <c r="Q26" s="309"/>
      <c r="R26" s="309"/>
      <c r="S26" s="309"/>
      <c r="T26" s="309"/>
      <c r="U26" s="30"/>
      <c r="V26" s="309"/>
      <c r="W26" s="309"/>
      <c r="X26" s="309"/>
      <c r="Y26" s="309"/>
      <c r="Z26" s="309"/>
      <c r="AA26" s="309"/>
      <c r="AB26" s="309"/>
      <c r="AC26" s="309"/>
      <c r="AD26" s="30"/>
      <c r="AE26" s="30"/>
      <c r="AF26" s="30"/>
    </row>
    <row r="27" spans="1:32" x14ac:dyDescent="0.25">
      <c r="A27" s="30"/>
      <c r="B27" s="309"/>
      <c r="C27" s="309"/>
      <c r="D27" s="309"/>
      <c r="E27" s="309"/>
      <c r="F27" s="309"/>
      <c r="G27" s="309"/>
      <c r="H27" s="309"/>
      <c r="I27" s="309"/>
      <c r="J27" s="30"/>
      <c r="K27" s="309"/>
      <c r="L27" s="309"/>
      <c r="M27" s="309"/>
      <c r="N27" s="309"/>
      <c r="O27" s="309"/>
      <c r="P27" s="309"/>
      <c r="Q27" s="309"/>
      <c r="R27" s="309"/>
      <c r="S27" s="309"/>
      <c r="T27" s="309"/>
      <c r="U27" s="30"/>
      <c r="V27" s="309"/>
      <c r="W27" s="309"/>
      <c r="X27" s="309"/>
      <c r="Y27" s="309"/>
      <c r="Z27" s="309"/>
      <c r="AA27" s="309"/>
      <c r="AB27" s="309"/>
      <c r="AC27" s="309"/>
      <c r="AD27" s="30"/>
      <c r="AE27" s="30"/>
      <c r="AF27" s="30"/>
    </row>
    <row r="28" spans="1:32" x14ac:dyDescent="0.25">
      <c r="A28" s="30"/>
      <c r="B28" s="309"/>
      <c r="C28" s="309"/>
      <c r="D28" s="309"/>
      <c r="E28" s="309"/>
      <c r="F28" s="309"/>
      <c r="G28" s="309"/>
      <c r="H28" s="309"/>
      <c r="I28" s="309"/>
      <c r="J28" s="30"/>
      <c r="K28" s="309"/>
      <c r="L28" s="309"/>
      <c r="M28" s="309"/>
      <c r="N28" s="309"/>
      <c r="O28" s="309"/>
      <c r="P28" s="309"/>
      <c r="Q28" s="309"/>
      <c r="R28" s="309"/>
      <c r="S28" s="309"/>
      <c r="T28" s="309"/>
      <c r="U28" s="30"/>
      <c r="V28" s="309"/>
      <c r="W28" s="309"/>
      <c r="X28" s="309"/>
      <c r="Y28" s="309"/>
      <c r="Z28" s="309"/>
      <c r="AA28" s="309"/>
      <c r="AB28" s="309"/>
      <c r="AC28" s="309"/>
      <c r="AD28" s="30"/>
      <c r="AE28" s="30"/>
      <c r="AF28" s="30"/>
    </row>
    <row r="29" spans="1:32"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row>
    <row r="30" spans="1:32"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row>
    <row r="31" spans="1:32"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row>
    <row r="32" spans="1:32"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row>
    <row r="33" spans="1:32"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row>
    <row r="34" spans="1:32"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row>
    <row r="35" spans="1:32"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row>
    <row r="36" spans="1:32"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1:32"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row>
    <row r="38" spans="1:32"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row r="39" spans="1:32"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row>
  </sheetData>
  <sheetProtection password="DF8E" sheet="1" objects="1" scenarios="1"/>
  <protectedRanges>
    <protectedRange sqref="F7:H9 F12:H14" name="Range1"/>
  </protectedRanges>
  <mergeCells count="38">
    <mergeCell ref="AA7:AB7"/>
    <mergeCell ref="D2:G3"/>
    <mergeCell ref="D4:G4"/>
    <mergeCell ref="W17:AB17"/>
    <mergeCell ref="W11:AB11"/>
    <mergeCell ref="W16:AB16"/>
    <mergeCell ref="C6:H6"/>
    <mergeCell ref="L6:Q6"/>
    <mergeCell ref="C7:E7"/>
    <mergeCell ref="C8:E8"/>
    <mergeCell ref="C9:E9"/>
    <mergeCell ref="F7:H7"/>
    <mergeCell ref="W6:AB6"/>
    <mergeCell ref="F8:H8"/>
    <mergeCell ref="F9:H9"/>
    <mergeCell ref="F13:H13"/>
    <mergeCell ref="F14:H14"/>
    <mergeCell ref="C11:H11"/>
    <mergeCell ref="F15:H15"/>
    <mergeCell ref="F16:H16"/>
    <mergeCell ref="F18:H18"/>
    <mergeCell ref="C12:E12"/>
    <mergeCell ref="C13:E13"/>
    <mergeCell ref="C14:E14"/>
    <mergeCell ref="C15:E15"/>
    <mergeCell ref="F12:H12"/>
    <mergeCell ref="W18:X18"/>
    <mergeCell ref="W19:X19"/>
    <mergeCell ref="C16:E16"/>
    <mergeCell ref="C18:E18"/>
    <mergeCell ref="O17:Q17"/>
    <mergeCell ref="O18:Q18"/>
    <mergeCell ref="O19:Q19"/>
    <mergeCell ref="AA8:AB8"/>
    <mergeCell ref="AA9:AB9"/>
    <mergeCell ref="AA12:AB12"/>
    <mergeCell ref="AA13:AB13"/>
    <mergeCell ref="AA14:AB14"/>
  </mergeCells>
  <conditionalFormatting sqref="O17:Q19">
    <cfRule type="cellIs" dxfId="196" priority="5" operator="lessThan">
      <formula>0</formula>
    </cfRule>
  </conditionalFormatting>
  <conditionalFormatting sqref="Z7">
    <cfRule type="containsText" dxfId="195" priority="4" operator="containsText" text="loss">
      <formula>NOT(ISERROR(SEARCH("loss",Z7)))</formula>
    </cfRule>
  </conditionalFormatting>
  <conditionalFormatting sqref="AA7">
    <cfRule type="expression" dxfId="194" priority="409">
      <formula>$AE$7&gt;=0</formula>
    </cfRule>
  </conditionalFormatting>
  <conditionalFormatting sqref="Z8">
    <cfRule type="containsText" dxfId="193" priority="2" operator="containsText" text="loss">
      <formula>NOT(ISERROR(SEARCH("loss",Z8)))</formula>
    </cfRule>
  </conditionalFormatting>
  <conditionalFormatting sqref="AA8">
    <cfRule type="expression" dxfId="192" priority="1">
      <formula>$AE$7&gt;=0</formula>
    </cfRule>
  </conditionalFormatting>
  <dataValidations count="1">
    <dataValidation type="custom" errorStyle="warning" allowBlank="1" showInputMessage="1" showErrorMessage="1" error="Enter a negative value" prompt="Enter a negative value" sqref="F14:H14" xr:uid="{CF986939-2119-49D1-9C96-0BDBC52AFDB7}">
      <formula1>F14&lt;0</formula1>
    </dataValidation>
  </dataValidation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1:A42"/>
  <sheetViews>
    <sheetView topLeftCell="A4" workbookViewId="0">
      <selection activeCell="E5" sqref="E5:G12"/>
    </sheetView>
  </sheetViews>
  <sheetFormatPr defaultRowHeight="15" x14ac:dyDescent="0.25"/>
  <cols>
    <col min="1" max="2" width="9.140625" style="143"/>
    <col min="3" max="3" width="17.140625" style="143" customWidth="1"/>
    <col min="4" max="4" width="9.140625" style="143"/>
    <col min="5" max="5" width="12.7109375" style="143" bestFit="1" customWidth="1"/>
    <col min="6" max="6" width="7.7109375" style="143" bestFit="1" customWidth="1"/>
    <col min="7" max="7" width="12" style="143" bestFit="1" customWidth="1"/>
    <col min="8" max="16384" width="9.140625" style="143"/>
  </cols>
  <sheetData>
    <row r="11" spans="1:1" x14ac:dyDescent="0.25">
      <c r="A11" s="143" t="s">
        <v>202</v>
      </c>
    </row>
    <row r="12" spans="1:1" x14ac:dyDescent="0.25">
      <c r="A12" s="143" t="s">
        <v>204</v>
      </c>
    </row>
    <row r="13" spans="1:1" x14ac:dyDescent="0.25">
      <c r="A13" s="143">
        <f>IF(AND(A1O=1,REGNAME=AR1I),('1-Tranche'!$D$7/('1-Tranche'!U13-'1-Tranche'!AB13)),"")</f>
        <v>7552.6419141415563</v>
      </c>
    </row>
    <row r="14" spans="1:1" x14ac:dyDescent="0.25">
      <c r="A14" s="143">
        <f>IF(AND(A1O=1,REGNAME=AR1I),('1-Tranche'!$D$7/('1-Tranche'!U14-'1-Tranche'!AB14)),"")</f>
        <v>1425.0901369511653</v>
      </c>
    </row>
    <row r="15" spans="1:1" x14ac:dyDescent="0.25">
      <c r="A15" s="143">
        <f>IF(AND(A1O=1,REGNAME=AR1I),('1-Tranche'!$D$7/('1-Tranche'!U15-'1-Tranche'!AB15)),"")</f>
        <v>9317.6672288325644</v>
      </c>
    </row>
    <row r="16" spans="1:1" x14ac:dyDescent="0.25">
      <c r="A16" s="143" t="e">
        <f>IF(AND(A1O=1,REGNAME=AR1I),('1-Tranche'!$D$7/('1-Tranche'!U16-'1-Tranche'!AB16)),"")</f>
        <v>#DIV/0!</v>
      </c>
    </row>
    <row r="17" spans="1:1" x14ac:dyDescent="0.25">
      <c r="A17" s="143" t="e">
        <f>IF(AND(A1O=1,REGNAME=AR1I),('1-Tranche'!$D$7/('1-Tranche'!U17-'1-Tranche'!AB17)),"")</f>
        <v>#DIV/0!</v>
      </c>
    </row>
    <row r="18" spans="1:1" x14ac:dyDescent="0.25">
      <c r="A18" s="143" t="e">
        <f>IF(AND(A1O=1,REGNAME=AR1I),('1-Tranche'!$D$7/('1-Tranche'!U18-'1-Tranche'!AB18)),"")</f>
        <v>#DIV/0!</v>
      </c>
    </row>
    <row r="19" spans="1:1" x14ac:dyDescent="0.25">
      <c r="A19" s="143" t="e">
        <f>IF(AND(A1O=1,REGNAME=AR1I),('1-Tranche'!$D$7/('1-Tranche'!U19-'1-Tranche'!AB19)),"")</f>
        <v>#DIV/0!</v>
      </c>
    </row>
    <row r="20" spans="1:1" x14ac:dyDescent="0.25">
      <c r="A20" s="143" t="e">
        <f>IF(AND(A1O=1,REGNAME=AR1I),('1-Tranche'!$D$7/('1-Tranche'!U20-'1-Tranche'!AB20)),"")</f>
        <v>#DIV/0!</v>
      </c>
    </row>
    <row r="21" spans="1:1" x14ac:dyDescent="0.25">
      <c r="A21" s="143" t="e">
        <f>IF(AND(A1O=1,REGNAME=AR1I),('1-Tranche'!$D$7/('1-Tranche'!U21-'1-Tranche'!AB21)),"")</f>
        <v>#DIV/0!</v>
      </c>
    </row>
    <row r="22" spans="1:1" x14ac:dyDescent="0.25">
      <c r="A22" s="143" t="e">
        <f>IF(AND(A1O=1,REGNAME=AR1I),('1-Tranche'!$D$7/('1-Tranche'!U22-'1-Tranche'!AB22)),"")</f>
        <v>#DIV/0!</v>
      </c>
    </row>
    <row r="23" spans="1:1" x14ac:dyDescent="0.25">
      <c r="A23" s="143" t="e">
        <f>IF(AND(A1O=1,REGNAME=AR1I),('1-Tranche'!$D$7/('1-Tranche'!U23-'1-Tranche'!AB23)),"")</f>
        <v>#DIV/0!</v>
      </c>
    </row>
    <row r="24" spans="1:1" x14ac:dyDescent="0.25">
      <c r="A24" s="143" t="e">
        <f>IF(AND(A1O=1,REGNAME=AR1I),('1-Tranche'!$D$7/('1-Tranche'!U24-'1-Tranche'!AB24)),"")</f>
        <v>#DIV/0!</v>
      </c>
    </row>
    <row r="25" spans="1:1" x14ac:dyDescent="0.25">
      <c r="A25" s="143" t="e">
        <f>IF(AND(A1O=1,REGNAME=AR1I),('1-Tranche'!$D$7/('1-Tranche'!U25-'1-Tranche'!AB25)),"")</f>
        <v>#DIV/0!</v>
      </c>
    </row>
    <row r="26" spans="1:1" x14ac:dyDescent="0.25">
      <c r="A26" s="143" t="e">
        <f>IF(AND(A1O=1,REGNAME=AR1I),('1-Tranche'!$D$7/('1-Tranche'!U26-'1-Tranche'!AB26)),"")</f>
        <v>#DIV/0!</v>
      </c>
    </row>
    <row r="27" spans="1:1" x14ac:dyDescent="0.25">
      <c r="A27" s="143" t="e">
        <f>IF(AND(A1O=1,REGNAME=AR1I),('1-Tranche'!$D$7/('1-Tranche'!U27-'1-Tranche'!AB27)),"")</f>
        <v>#DIV/0!</v>
      </c>
    </row>
    <row r="28" spans="1:1" x14ac:dyDescent="0.25">
      <c r="A28" s="143" t="e">
        <f>IF(AND(A1O=1,REGNAME=AR1I),('1-Tranche'!$D$7/('1-Tranche'!U28-'1-Tranche'!AB28)),"")</f>
        <v>#DIV/0!</v>
      </c>
    </row>
    <row r="29" spans="1:1" x14ac:dyDescent="0.25">
      <c r="A29" s="143" t="e">
        <f>IF(AND(A1O=1,REGNAME=AR1I),('1-Tranche'!$D$7/('1-Tranche'!U29-'1-Tranche'!AB29)),"")</f>
        <v>#DIV/0!</v>
      </c>
    </row>
    <row r="30" spans="1:1" x14ac:dyDescent="0.25">
      <c r="A30" s="143" t="e">
        <f>IF(AND(A1O=1,REGNAME=AR1I),('1-Tranche'!$D$7/('1-Tranche'!U30-'1-Tranche'!AB30)),"")</f>
        <v>#DIV/0!</v>
      </c>
    </row>
    <row r="31" spans="1:1" x14ac:dyDescent="0.25">
      <c r="A31" s="143" t="e">
        <f>IF(AND(A1O=1,REGNAME=AR1I),('1-Tranche'!$D$7/('1-Tranche'!U31-'1-Tranche'!AB31)),"")</f>
        <v>#DIV/0!</v>
      </c>
    </row>
    <row r="32" spans="1:1" x14ac:dyDescent="0.25">
      <c r="A32" s="143" t="e">
        <f>IF(AND(A1O=1,REGNAME=AR1I),('1-Tranche'!$D$7/('1-Tranche'!U32-'1-Tranche'!AB32)),"")</f>
        <v>#DIV/0!</v>
      </c>
    </row>
    <row r="33" spans="1:1" x14ac:dyDescent="0.25">
      <c r="A33" s="143" t="e">
        <f>IF(AND(A1O=1,REGNAME=AR1I),('1-Tranche'!$D$7/('1-Tranche'!U33-'1-Tranche'!AB33)),"")</f>
        <v>#DIV/0!</v>
      </c>
    </row>
    <row r="34" spans="1:1" x14ac:dyDescent="0.25">
      <c r="A34" s="143" t="e">
        <f>IF(AND(A1O=1,REGNAME=AR1I),('1-Tranche'!$D$7/('1-Tranche'!U34-'1-Tranche'!AB34)),"")</f>
        <v>#DIV/0!</v>
      </c>
    </row>
    <row r="35" spans="1:1" x14ac:dyDescent="0.25">
      <c r="A35" s="143" t="e">
        <f>IF(AND(A1O=1,REGNAME=AR1I),('1-Tranche'!$D$7/('1-Tranche'!U35-'1-Tranche'!AB35)),"")</f>
        <v>#DIV/0!</v>
      </c>
    </row>
    <row r="36" spans="1:1" x14ac:dyDescent="0.25">
      <c r="A36" s="143" t="e">
        <f>IF(AND(A1O=1,REGNAME=AR1I),('1-Tranche'!$D$7/('1-Tranche'!U36-'1-Tranche'!AB36)),"")</f>
        <v>#DIV/0!</v>
      </c>
    </row>
    <row r="37" spans="1:1" x14ac:dyDescent="0.25">
      <c r="A37" s="143" t="e">
        <f>IF(AND(A1O=1,REGNAME=AR1I),('1-Tranche'!$D$7/('1-Tranche'!U37-'1-Tranche'!AB37)),"")</f>
        <v>#DIV/0!</v>
      </c>
    </row>
    <row r="38" spans="1:1" x14ac:dyDescent="0.25">
      <c r="A38" s="143" t="e">
        <f>IF(AND(A1O=1,REGNAME=AR1I),('1-Tranche'!$D$7/('1-Tranche'!U38-'1-Tranche'!AB38)),"")</f>
        <v>#DIV/0!</v>
      </c>
    </row>
    <row r="39" spans="1:1" x14ac:dyDescent="0.25">
      <c r="A39" s="143" t="e">
        <f>IF(AND(A1O=1,REGNAME=AR1I),('1-Tranche'!$D$7/('1-Tranche'!U39-'1-Tranche'!AB39)),"")</f>
        <v>#DIV/0!</v>
      </c>
    </row>
    <row r="40" spans="1:1" x14ac:dyDescent="0.25">
      <c r="A40" s="143" t="e">
        <f>IF(AND(A1O=1,REGNAME=AR1I),('1-Tranche'!$D$7/('1-Tranche'!U40-'1-Tranche'!AB40)),"")</f>
        <v>#DIV/0!</v>
      </c>
    </row>
    <row r="41" spans="1:1" x14ac:dyDescent="0.25">
      <c r="A41" s="143" t="e">
        <f>IF(AND(A1O=1,REGNAME=AR1I),('1-Tranche'!$D$7/('1-Tranche'!U41-'1-Tranche'!AB41)),"")</f>
        <v>#DIV/0!</v>
      </c>
    </row>
    <row r="42" spans="1:1" x14ac:dyDescent="0.25">
      <c r="A42" s="143" t="e">
        <f>IF(AND(A1O=1,REGNAME=AR1I),('1-Tranche'!$D$7/('1-Tranche'!U42-'1-Tranche'!AB42)),"")</f>
        <v>#DIV/0!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00000"/>
  </sheetPr>
  <dimension ref="A1:BJ52"/>
  <sheetViews>
    <sheetView showGridLines="0" showRowColHeaders="0" zoomScaleNormal="100" zoomScaleSheetLayoutView="130" workbookViewId="0">
      <pane ySplit="12" topLeftCell="A13" activePane="bottomLeft" state="frozen"/>
      <selection activeCell="C81" sqref="C81:G86"/>
      <selection pane="bottomLeft" activeCell="D18" sqref="D18"/>
    </sheetView>
  </sheetViews>
  <sheetFormatPr defaultColWidth="0" defaultRowHeight="15" x14ac:dyDescent="0.25"/>
  <cols>
    <col min="1" max="1" width="1.42578125" customWidth="1"/>
    <col min="2" max="2" width="10.7109375" customWidth="1"/>
    <col min="3" max="3" width="9.7109375" customWidth="1"/>
    <col min="4" max="7" width="11.85546875" customWidth="1"/>
    <col min="8" max="11" width="12.42578125" hidden="1" customWidth="1"/>
    <col min="12" max="12" width="15.5703125" hidden="1" customWidth="1"/>
    <col min="13" max="13" width="12.42578125" hidden="1" customWidth="1"/>
    <col min="14" max="14" width="15.28515625" hidden="1" customWidth="1"/>
    <col min="15" max="16" width="11.85546875" hidden="1" customWidth="1"/>
    <col min="17" max="19" width="10" hidden="1" customWidth="1"/>
    <col min="20" max="20" width="13.5703125" hidden="1" customWidth="1"/>
    <col min="21" max="21" width="8.5703125" hidden="1" customWidth="1"/>
    <col min="22" max="22" width="14.28515625" hidden="1" customWidth="1"/>
    <col min="23" max="26" width="10" hidden="1" customWidth="1"/>
    <col min="27" max="27" width="13.5703125" hidden="1" customWidth="1"/>
    <col min="28" max="28" width="8.5703125" hidden="1" customWidth="1"/>
    <col min="29" max="29" width="11.5703125" hidden="1" customWidth="1"/>
    <col min="30" max="33" width="8.5703125" hidden="1" customWidth="1"/>
    <col min="34" max="34" width="9.5703125" hidden="1" customWidth="1"/>
    <col min="35" max="35" width="10.7109375" hidden="1" customWidth="1"/>
    <col min="36" max="36" width="13.5703125" customWidth="1"/>
    <col min="37" max="37" width="14.85546875" customWidth="1"/>
    <col min="38" max="40" width="10.5703125" customWidth="1"/>
    <col min="41" max="43" width="20.5703125" customWidth="1"/>
    <col min="44" max="44" width="2.7109375" customWidth="1"/>
    <col min="45" max="47" width="2.140625" hidden="1" customWidth="1"/>
    <col min="48" max="48" width="9.7109375" hidden="1" customWidth="1"/>
    <col min="49" max="49" width="7.85546875" hidden="1" customWidth="1"/>
    <col min="50" max="50" width="9.85546875" hidden="1" customWidth="1"/>
    <col min="51" max="51" width="16.85546875" hidden="1" customWidth="1"/>
    <col min="52" max="53" width="7.85546875" hidden="1" customWidth="1"/>
    <col min="54" max="55" width="10" hidden="1" customWidth="1"/>
    <col min="56" max="56" width="13.7109375" hidden="1" customWidth="1"/>
    <col min="57" max="61" width="9" hidden="1" customWidth="1"/>
    <col min="62" max="62" width="13.7109375" hidden="1" customWidth="1"/>
    <col min="63" max="16384" width="9" hidden="1"/>
  </cols>
  <sheetData>
    <row r="1" spans="1:55" ht="15.75" customHeight="1" x14ac:dyDescent="0.3">
      <c r="A1" s="274">
        <v>1</v>
      </c>
      <c r="B1" s="285" t="s">
        <v>767</v>
      </c>
      <c r="C1" s="271"/>
      <c r="D1" s="271"/>
      <c r="E1" s="271"/>
      <c r="F1" s="271"/>
      <c r="G1" s="271"/>
      <c r="AI1" s="273"/>
      <c r="AJ1" s="271"/>
      <c r="AK1" s="271"/>
      <c r="AL1" s="273"/>
      <c r="AM1" s="273"/>
      <c r="AN1" s="273"/>
      <c r="AO1" s="271"/>
      <c r="AP1" s="271"/>
      <c r="AQ1" s="271"/>
      <c r="AR1" s="271"/>
    </row>
    <row r="2" spans="1:55" ht="19.5" customHeight="1" x14ac:dyDescent="0.3">
      <c r="A2" s="29"/>
      <c r="B2" s="19"/>
      <c r="C2" s="209" t="s">
        <v>183</v>
      </c>
      <c r="D2" s="578" t="s">
        <v>766</v>
      </c>
      <c r="E2" s="578"/>
      <c r="F2" s="116"/>
      <c r="G2" s="30"/>
      <c r="AJ2" s="571" t="s">
        <v>210</v>
      </c>
      <c r="AK2" s="571"/>
      <c r="AL2" s="571"/>
      <c r="AM2" s="571"/>
      <c r="AN2" s="472"/>
      <c r="AO2" s="411" t="s">
        <v>195</v>
      </c>
      <c r="AP2" s="412" t="s">
        <v>209</v>
      </c>
      <c r="AQ2" s="516" t="s">
        <v>702</v>
      </c>
      <c r="AR2" s="29"/>
      <c r="AX2">
        <v>5</v>
      </c>
    </row>
    <row r="3" spans="1:55" ht="17.25" customHeight="1" x14ac:dyDescent="0.3">
      <c r="A3" s="29"/>
      <c r="B3" s="19"/>
      <c r="C3" s="209" t="s">
        <v>185</v>
      </c>
      <c r="D3" s="579">
        <v>100000</v>
      </c>
      <c r="E3" s="579"/>
      <c r="F3" s="31" t="s">
        <v>234</v>
      </c>
      <c r="G3" s="32" t="s">
        <v>218</v>
      </c>
      <c r="AJ3" s="33" t="s">
        <v>204</v>
      </c>
      <c r="AK3" s="34" t="s">
        <v>214</v>
      </c>
      <c r="AL3" s="35" t="s">
        <v>215</v>
      </c>
      <c r="AM3" s="35" t="s">
        <v>216</v>
      </c>
      <c r="AN3" s="34" t="s">
        <v>289</v>
      </c>
      <c r="AO3" s="34" t="s">
        <v>285</v>
      </c>
      <c r="AP3" s="34" t="s">
        <v>286</v>
      </c>
      <c r="AQ3" s="29"/>
      <c r="AR3" s="29"/>
      <c r="AX3">
        <v>10</v>
      </c>
      <c r="AY3" t="s">
        <v>146</v>
      </c>
      <c r="AZ3" t="s">
        <v>147</v>
      </c>
    </row>
    <row r="4" spans="1:55" ht="17.25" customHeight="1" x14ac:dyDescent="0.3">
      <c r="A4" s="29"/>
      <c r="B4" s="19"/>
      <c r="C4" s="209" t="s">
        <v>303</v>
      </c>
      <c r="D4" s="580">
        <v>0.4</v>
      </c>
      <c r="E4" s="580"/>
      <c r="F4" s="36">
        <f>IFERROR(LARGE($AN$13:$AN$42,1),"")</f>
        <v>3.5597583184797905</v>
      </c>
      <c r="G4" s="23" t="str">
        <f>IF(F4="","",INDEX($C$13:$C$42,MATCH(F4,$AN$13:$AN$42,0)))</f>
        <v>IRC</v>
      </c>
      <c r="AJ4" s="24">
        <f>IF(F4="","",INDEX($AJ$13:$AJ$42,MATCH(F4,$AN$13:$AN$42,0)))</f>
        <v>7552.6419141415563</v>
      </c>
      <c r="AK4" s="25">
        <f>IF(F4="","",INDEX($D$13:$D$42,MATCH(F4,$AN$13:$AN$42,0)))</f>
        <v>2.29</v>
      </c>
      <c r="AL4" s="26">
        <f>IF(F4="","",INDEX($E$13:$E$42,MATCH(F4,$AN$13:$AN$42,0)))</f>
        <v>2.19</v>
      </c>
      <c r="AM4" s="26">
        <f>IF(F4="","",INDEX($F$13:$F$42,MATCH(F4,$AN$13:$AN$42,0)))</f>
        <v>2.8</v>
      </c>
      <c r="AN4" s="112">
        <f>IF(F4="","",INDEX($G$13:$G$42,MATCH(F4,$AN$13:$AN$42,0)))</f>
        <v>2.66</v>
      </c>
      <c r="AO4" s="239" t="str">
        <f>IF(F4="","",INDEX($AO$13:$AO$42,MATCH(F4,$AN$13:$AN$42,0)))</f>
        <v>-1,000.0 (-5.76%)</v>
      </c>
      <c r="AP4" s="240" t="str">
        <f>IF(F4="","",INDEX($AP$13:$AP$42,MATCH(F4,$AN$13:$AN$42,0)))</f>
        <v>3,559.7 (20.49%)</v>
      </c>
      <c r="AQ4" s="37"/>
      <c r="AR4" s="29"/>
      <c r="AX4">
        <v>100</v>
      </c>
      <c r="AY4" t="s">
        <v>148</v>
      </c>
      <c r="AZ4" t="s">
        <v>149</v>
      </c>
    </row>
    <row r="5" spans="1:55" ht="17.25" customHeight="1" x14ac:dyDescent="0.3">
      <c r="A5" s="29"/>
      <c r="B5" s="19"/>
      <c r="C5" s="209" t="s">
        <v>188</v>
      </c>
      <c r="D5" s="576">
        <f>D3*D4</f>
        <v>40000</v>
      </c>
      <c r="E5" s="576"/>
      <c r="F5" s="36">
        <f>IFERROR(LARGE($AN$13:$AN$42,2),"")</f>
        <v>3.5189306756240395</v>
      </c>
      <c r="G5" s="23" t="str">
        <f>IF(F5="","",INDEX($C$13:$C$42,MATCH(F5,$AN$13:$AN$42,0)))</f>
        <v>ATN</v>
      </c>
      <c r="AJ5" s="24">
        <f>IF(F5="","",INDEX($AJ$13:$AJ$42,MATCH(F5,$AN$13:$AN$42,0)))</f>
        <v>9317.6672288325644</v>
      </c>
      <c r="AK5" s="25">
        <f>IF(F5="","",INDEX($D$13:$D$42,MATCH(F5,$AN$13:$AN$42,0)))</f>
        <v>1.25</v>
      </c>
      <c r="AL5" s="26">
        <f>IF(F5="","",INDEX($E$13:$E$42,MATCH(F5,$AN$13:$AN$42,0)))</f>
        <v>1.1599999999999999</v>
      </c>
      <c r="AM5" s="26">
        <f>IF(F5="","",INDEX($F$13:$F$42,MATCH(F5,$AN$13:$AN$42,0)))</f>
        <v>1.65</v>
      </c>
      <c r="AN5" s="112">
        <f>IF(F5="","",INDEX($G$13:$G$42,MATCH(F5,$AN$13:$AN$42,0)))</f>
        <v>1.27</v>
      </c>
      <c r="AO5" s="239" t="str">
        <f t="shared" ref="AO5:AO8" si="0">IF(F5="","",INDEX($AO$13:$AO$42,MATCH(F5,$AN$13:$AN$42,0)))</f>
        <v>-1,000.0 (-8.55%)</v>
      </c>
      <c r="AP5" s="240" t="str">
        <f>IF(F5="","",INDEX($AP$13:$AP$42,MATCH(F5,$AN$13:$AN$42,0)))</f>
        <v>3,518.6 (30.08%)</v>
      </c>
      <c r="AQ5" s="37"/>
      <c r="AR5" s="29"/>
      <c r="AX5">
        <v>1000</v>
      </c>
      <c r="AY5" t="s">
        <v>288</v>
      </c>
    </row>
    <row r="6" spans="1:55" ht="17.25" customHeight="1" x14ac:dyDescent="0.3">
      <c r="A6" s="29"/>
      <c r="B6" s="20"/>
      <c r="C6" s="209" t="s">
        <v>211</v>
      </c>
      <c r="D6" s="577">
        <v>2.5000000000000001E-2</v>
      </c>
      <c r="E6" s="577"/>
      <c r="F6" s="36">
        <f>IFERROR(LARGE($AN$13:$AN$42,3),"")</f>
        <v>3.2032268914508886</v>
      </c>
      <c r="G6" s="23" t="str">
        <f>IF(F6="","",INDEX($C$13:$C$42,MATCH(F6,$AN$13:$AN$42,0)))</f>
        <v>PXP</v>
      </c>
      <c r="AJ6" s="24">
        <f>IF(F6="","",INDEX($AJ$13:$AJ$42,MATCH(F6,$AN$13:$AN$42,0)))</f>
        <v>1425.0901369511653</v>
      </c>
      <c r="AK6" s="25">
        <f>IF(F6="","",INDEX($D$13:$D$42,MATCH(F6,$AN$13:$AN$42,0)))</f>
        <v>16.88</v>
      </c>
      <c r="AL6" s="26">
        <f>IF(F6="","",INDEX($E$13:$E$42,MATCH(F6,$AN$13:$AN$42,0)))</f>
        <v>16.420000000000002</v>
      </c>
      <c r="AM6" s="26">
        <f>IF(F6="","",INDEX($F$13:$F$42,MATCH(F6,$AN$13:$AN$42,0)))</f>
        <v>19.399999999999999</v>
      </c>
      <c r="AN6" s="112">
        <f>IF(F6="","",INDEX($G$13:$G$42,MATCH(F6,$AN$13:$AN$42,0)))</f>
        <v>16.3</v>
      </c>
      <c r="AO6" s="239" t="str">
        <f t="shared" si="0"/>
        <v>-1,000.0 (-4.14%)</v>
      </c>
      <c r="AP6" s="240" t="str">
        <f>IF(F6="","",INDEX($AP$13:$AP$42,MATCH(F6,$AN$13:$AN$42,0)))</f>
        <v>3,203.0 (13.26%)</v>
      </c>
      <c r="AQ6" s="37"/>
      <c r="AR6" s="29"/>
      <c r="AS6" t="s">
        <v>147</v>
      </c>
      <c r="AX6">
        <v>10000</v>
      </c>
      <c r="AY6" t="s">
        <v>150</v>
      </c>
    </row>
    <row r="7" spans="1:55" ht="17.25" customHeight="1" x14ac:dyDescent="0.3">
      <c r="A7" s="29"/>
      <c r="B7" s="20"/>
      <c r="C7" s="209" t="s">
        <v>212</v>
      </c>
      <c r="D7" s="573">
        <f>IFERROR(IF(AND(A1O=1,REGNAME=AR1I),(D5*D6),"Invalid User"),"Enable Macro")</f>
        <v>1000</v>
      </c>
      <c r="E7" s="573"/>
      <c r="F7" s="36" t="str">
        <f>IFERROR(LARGE($AN$13:$AN$42,4),"")</f>
        <v/>
      </c>
      <c r="G7" s="23" t="str">
        <f>IF(F7="","",INDEX($C$13:$C$42,MATCH(F7,$AN$13:$AN$42,0)))</f>
        <v/>
      </c>
      <c r="AJ7" s="24" t="str">
        <f>IF(F7="","",INDEX($AJ$13:$AJ$42,MATCH(F7,$AN$13:$AN$42,0)))</f>
        <v/>
      </c>
      <c r="AK7" s="25" t="str">
        <f>IF(F7="","",INDEX($D$13:$D$42,MATCH(F7,$AN$13:$AN$42,0)))</f>
        <v/>
      </c>
      <c r="AL7" s="26" t="str">
        <f>IF(F7="","",INDEX($E$13:$E$42,MATCH(F7,$AN$13:$AN$42,0)))</f>
        <v/>
      </c>
      <c r="AM7" s="26" t="str">
        <f>IF(F7="","",INDEX($F$13:$F$42,MATCH(F7,$AN$13:$AN$42,0)))</f>
        <v/>
      </c>
      <c r="AN7" s="112" t="str">
        <f>IF(F7="","",INDEX($G$13:$G$42,MATCH(F7,$AN$13:$AN$42,0)))</f>
        <v/>
      </c>
      <c r="AO7" s="239" t="str">
        <f t="shared" si="0"/>
        <v/>
      </c>
      <c r="AP7" s="240" t="str">
        <f>IF(F7="","",INDEX($AP$13:$AP$42,MATCH(F7,$AN$13:$AN$42,0)))</f>
        <v/>
      </c>
      <c r="AQ7" s="37"/>
      <c r="AR7" s="29"/>
      <c r="AX7">
        <v>100000</v>
      </c>
    </row>
    <row r="8" spans="1:55" ht="17.25" customHeight="1" x14ac:dyDescent="0.3">
      <c r="A8" s="29"/>
      <c r="B8" s="22"/>
      <c r="C8" s="241" t="s">
        <v>164</v>
      </c>
      <c r="D8" s="575" t="s">
        <v>288</v>
      </c>
      <c r="E8" s="575"/>
      <c r="F8" s="36" t="str">
        <f>IFERROR(LARGE($AN$13:$AN$42,5),"")</f>
        <v/>
      </c>
      <c r="G8" s="23" t="str">
        <f>IF(F8="","",INDEX($C$13:$C$42,MATCH(F8,$AN$13:$AN$42,0)))</f>
        <v/>
      </c>
      <c r="AJ8" s="24" t="str">
        <f>IF(F8="","",INDEX($AJ$13:$AJ$42,MATCH(F8,$AN$13:$AN$42,0)))</f>
        <v/>
      </c>
      <c r="AK8" s="25" t="str">
        <f>IF(F8="","",INDEX($D$13:$D$42,MATCH(F8,$AN$13:$AN$42,0)))</f>
        <v/>
      </c>
      <c r="AL8" s="26" t="str">
        <f>IF(F8="","",INDEX($E$13:$E$42,MATCH(F8,$AN$13:$AN$42,0)))</f>
        <v/>
      </c>
      <c r="AM8" s="26" t="str">
        <f>IF(F8="","",INDEX($F$13:$F$42,MATCH(F8,$AN$13:$AN$42,0)))</f>
        <v/>
      </c>
      <c r="AN8" s="112" t="str">
        <f>IF(F8="","",INDEX($G$13:$G$42,MATCH(F8,$AN$13:$AN$42,0)))</f>
        <v/>
      </c>
      <c r="AO8" s="239" t="str">
        <f t="shared" si="0"/>
        <v/>
      </c>
      <c r="AP8" s="240" t="str">
        <f>IF(F8="","",INDEX($AP$13:$AP$42,MATCH(F8,$AN$13:$AN$42,0)))</f>
        <v/>
      </c>
      <c r="AQ8" s="28"/>
      <c r="AR8" s="29"/>
    </row>
    <row r="9" spans="1:55" ht="17.25" customHeight="1" x14ac:dyDescent="0.3">
      <c r="A9" s="29"/>
      <c r="B9" s="22"/>
      <c r="C9" s="241" t="s">
        <v>164</v>
      </c>
      <c r="D9" s="574" t="s">
        <v>146</v>
      </c>
      <c r="E9" s="574"/>
      <c r="F9" s="117">
        <f>D7/D3</f>
        <v>0.01</v>
      </c>
      <c r="G9" s="30"/>
      <c r="AJ9" s="572" t="str">
        <f>IFERROR("You Are Risking"&amp;TEXT(F9," 0.0%")&amp;" Of Your Total Equity Per Trade","")</f>
        <v>You Are Risking 1.0% Of Your Total Equity Per Trade</v>
      </c>
      <c r="AK9" s="572"/>
      <c r="AL9" s="572"/>
      <c r="AM9" s="572"/>
      <c r="AN9" s="572"/>
      <c r="AO9" s="489" t="str">
        <f>'3-Tranche'!AP9</f>
        <v>2018-10-23T14:50:00+08:00</v>
      </c>
      <c r="AP9" s="238"/>
      <c r="AQ9" s="564"/>
      <c r="AR9" s="564"/>
    </row>
    <row r="10" spans="1:55" ht="6.75" customHeight="1" x14ac:dyDescent="0.3">
      <c r="A10" s="29"/>
      <c r="B10" s="19"/>
      <c r="C10" s="30"/>
      <c r="D10" s="30"/>
      <c r="E10" s="30"/>
      <c r="F10" s="30"/>
      <c r="G10" s="473"/>
      <c r="AJ10" s="473"/>
      <c r="AK10" s="473"/>
      <c r="AL10" s="473"/>
      <c r="AM10" s="473"/>
      <c r="AN10" s="473"/>
      <c r="AO10" s="238"/>
      <c r="AP10" s="238"/>
      <c r="AQ10" s="564"/>
      <c r="AR10" s="564"/>
      <c r="AV10">
        <v>1</v>
      </c>
    </row>
    <row r="11" spans="1:55" ht="21.75" customHeight="1" x14ac:dyDescent="0.3">
      <c r="A11" s="8"/>
      <c r="B11" s="566" t="s">
        <v>213</v>
      </c>
      <c r="C11" s="565" t="s">
        <v>218</v>
      </c>
      <c r="D11" s="566" t="s">
        <v>214</v>
      </c>
      <c r="E11" s="570" t="s">
        <v>215</v>
      </c>
      <c r="F11" s="569" t="s">
        <v>216</v>
      </c>
      <c r="G11" s="565" t="s">
        <v>287</v>
      </c>
      <c r="J11" t="s">
        <v>151</v>
      </c>
      <c r="K11" t="s">
        <v>148</v>
      </c>
      <c r="L11" t="s">
        <v>152</v>
      </c>
      <c r="M11" t="s">
        <v>148</v>
      </c>
      <c r="O11" t="s">
        <v>203</v>
      </c>
      <c r="P11" t="s">
        <v>205</v>
      </c>
      <c r="Q11" t="s">
        <v>155</v>
      </c>
      <c r="R11" t="s">
        <v>156</v>
      </c>
      <c r="S11" t="s">
        <v>157</v>
      </c>
      <c r="T11" t="s">
        <v>158</v>
      </c>
      <c r="U11" t="s">
        <v>159</v>
      </c>
      <c r="V11" t="s">
        <v>205</v>
      </c>
      <c r="W11" t="s">
        <v>155</v>
      </c>
      <c r="X11" t="s">
        <v>156</v>
      </c>
      <c r="Y11" t="s">
        <v>157</v>
      </c>
      <c r="Z11" t="s">
        <v>161</v>
      </c>
      <c r="AA11" t="s">
        <v>158</v>
      </c>
      <c r="AB11" t="s">
        <v>159</v>
      </c>
      <c r="AJ11" s="568" t="s">
        <v>204</v>
      </c>
      <c r="AK11" s="409" t="s">
        <v>206</v>
      </c>
      <c r="AL11" s="566" t="s">
        <v>207</v>
      </c>
      <c r="AM11" s="566"/>
      <c r="AN11" s="566"/>
      <c r="AO11" s="567" t="s">
        <v>208</v>
      </c>
      <c r="AP11" s="567"/>
      <c r="AQ11" s="410" t="s">
        <v>217</v>
      </c>
      <c r="AR11" s="1"/>
    </row>
    <row r="12" spans="1:55" ht="16.5" customHeight="1" x14ac:dyDescent="0.3">
      <c r="A12" s="8"/>
      <c r="B12" s="566"/>
      <c r="C12" s="566"/>
      <c r="D12" s="566"/>
      <c r="E12" s="570"/>
      <c r="F12" s="569"/>
      <c r="G12" s="565"/>
      <c r="O12" t="s">
        <v>204</v>
      </c>
      <c r="P12" t="s">
        <v>160</v>
      </c>
      <c r="V12" t="s">
        <v>160</v>
      </c>
      <c r="AD12" t="s">
        <v>155</v>
      </c>
      <c r="AE12" t="s">
        <v>156</v>
      </c>
      <c r="AF12" t="s">
        <v>157</v>
      </c>
      <c r="AG12" t="s">
        <v>161</v>
      </c>
      <c r="AJ12" s="568"/>
      <c r="AK12" s="13" t="s">
        <v>231</v>
      </c>
      <c r="AL12" s="14" t="s">
        <v>195</v>
      </c>
      <c r="AM12" s="15" t="s">
        <v>209</v>
      </c>
      <c r="AN12" s="14" t="s">
        <v>232</v>
      </c>
      <c r="AO12" s="13" t="s">
        <v>195</v>
      </c>
      <c r="AP12" s="13" t="s">
        <v>209</v>
      </c>
      <c r="AQ12" s="9"/>
      <c r="AR12" s="1"/>
      <c r="AV12" t="s">
        <v>766</v>
      </c>
    </row>
    <row r="13" spans="1:55" ht="20.100000000000001" customHeight="1" x14ac:dyDescent="0.3">
      <c r="A13" s="308">
        <v>1E-4</v>
      </c>
      <c r="B13" s="512">
        <v>43392</v>
      </c>
      <c r="C13" s="357" t="s">
        <v>394</v>
      </c>
      <c r="D13" s="358">
        <v>2.29</v>
      </c>
      <c r="E13" s="358">
        <v>2.19</v>
      </c>
      <c r="F13" s="358">
        <v>2.8</v>
      </c>
      <c r="G13" s="514">
        <v>2.66</v>
      </c>
      <c r="J13">
        <f>IF(D13="","",IF($AS$6="Cutloss",#REF!,E13))</f>
        <v>2.19</v>
      </c>
      <c r="K13">
        <f>IFERROR(IF(AND(D13&gt;='User Guide &amp; Settings'!$Z$5,D13&lt;='User Guide &amp; Settings'!$AA$5),'User Guide &amp; Settings'!$AC$5,IF(AND(D13&gt;='User Guide &amp; Settings'!$Z$4,D13&lt;='User Guide &amp; Settings'!$AA$4),'User Guide &amp; Settings'!$AC$4,IF(AND(D13&gt;='User Guide &amp; Settings'!$Z$6,D13&lt;='User Guide &amp; Settings'!$AA$7),'User Guide &amp; Settings'!$AC$6,IF(AND(D13&gt;='User Guide &amp; Settings'!$Z$8,D13&lt;='User Guide &amp; Settings'!$AA$8),'User Guide &amp; Settings'!$AC$8,IF(AND(D13&gt;='User Guide &amp; Settings'!$Z$9,D13&lt;='User Guide &amp; Settings'!$AA$23),'User Guide &amp; Settings'!$AC$23,IF(AND(D13&gt;='User Guide &amp; Settings'!$Z$24,D13&lt;='User Guide &amp; Settings'!$AA$27),'User Guide &amp; Settings'!$AC$27,IF(D13&gt;='User Guide &amp; Settings'!$Z$28,'User Guide &amp; Settings'!$AC$28,0))))))),"")</f>
        <v>1000</v>
      </c>
      <c r="L13">
        <f t="shared" ref="L13:L15" si="1">$D$5/D13</f>
        <v>17467.248908296944</v>
      </c>
      <c r="M13">
        <f t="shared" ref="M13:M15" si="2">IF(K13=5,MROUND(L13,5),IF($D$9="Board lot",ROUND(L13,AX13),L13))</f>
        <v>17467.248908296944</v>
      </c>
      <c r="O13">
        <f t="shared" ref="O13:O15" si="3">$D$7/(D13-J13)</f>
        <v>9999.9999999999909</v>
      </c>
      <c r="P13">
        <f t="shared" ref="P13:P15" si="4">O13*D13</f>
        <v>22899.999999999978</v>
      </c>
      <c r="Q13">
        <f>IF(IF('User Guide &amp; Settings'!$S$5="Amount",'User Guide &amp; Settings'!$T$5*P13,IF('User Guide &amp; Settings'!$S$5="Total Shares",'User Guide &amp; Settings'!$T$5*O13,'User Guide &amp; Settings'!$T$5))=0,MAX(IF('User Guide &amp; Settings'!$P$5="amount",(P13*'User Guide &amp; Settings'!$Q$5),IF('User Guide &amp; Settings'!$P$5="Total Shares",('User Guide &amp; Settings'!$Q$5*O13),'User Guide &amp; Settings'!$Q$5)),'User Guide &amp; Settings'!$R$5),MIN(IF('User Guide &amp; Settings'!$S$5="Amount",'User Guide &amp; Settings'!$T$5*P13,IF('User Guide &amp; Settings'!$S$5="Total Shares",'User Guide &amp; Settings'!$T$5*O13,'User Guide &amp; Settings'!$T$5)),MAX(IF('User Guide &amp; Settings'!$P$5="amount",(P13*'User Guide &amp; Settings'!$Q$5),IF('User Guide &amp; Settings'!$P$5="Total Shares",('User Guide &amp; Settings'!$Q$5*O13),'User Guide &amp; Settings'!$Q$5)),'User Guide &amp; Settings'!$R$5)))</f>
        <v>57.249999999999943</v>
      </c>
      <c r="R13">
        <f>IF(IF('User Guide &amp; Settings'!$S$6="Amount",'User Guide &amp; Settings'!$T$6*P13,IF('User Guide &amp; Settings'!$S$6="Total Shares",'User Guide &amp; Settings'!$T$6*O13,'User Guide &amp; Settings'!$T$6))=0,MAX(IF('User Guide &amp; Settings'!$P$6="amount",(P13*'User Guide &amp; Settings'!$Q$6),IF('User Guide &amp; Settings'!$P$6="Total Shares",('User Guide &amp; Settings'!$Q$6*O13),'User Guide &amp; Settings'!$Q$6)),'User Guide &amp; Settings'!$R$6),MIN(IF('User Guide &amp; Settings'!$S$6="Amount",'User Guide &amp; Settings'!$T$6*P13,IF('User Guide &amp; Settings'!$S$6="Total Shares",'User Guide &amp; Settings'!$T$6*O13,'User Guide &amp; Settings'!$T$6)),MAX(IF('User Guide &amp; Settings'!$P$6="amount",(P13*'User Guide &amp; Settings'!$Q$6),IF('User Guide &amp; Settings'!$P$6="Total Shares",('User Guide &amp; Settings'!$Q$6*O13),'User Guide &amp; Settings'!$Q$6)),'User Guide &amp; Settings'!$R$6)))</f>
        <v>6.869999999999993</v>
      </c>
      <c r="S13">
        <f>IF(IF('User Guide &amp; Settings'!$S$7="Amount",'User Guide &amp; Settings'!$T$7*P13,IF('User Guide &amp; Settings'!$S$7="Total Shares",'User Guide &amp; Settings'!$T$7*O13,'User Guide &amp; Settings'!$T$7))=0,MAX(IF('User Guide &amp; Settings'!$P$7="amount",(P13*'User Guide &amp; Settings'!$Q$7),IF('User Guide &amp; Settings'!$P$7="Total Shares",('User Guide &amp; Settings'!$Q$7*O13),'User Guide &amp; Settings'!$Q$7)),'User Guide &amp; Settings'!$R$7),MIN(IF('User Guide &amp; Settings'!$S$7="Amount",'User Guide &amp; Settings'!$T$7*P13,IF('User Guide &amp; Settings'!$S$7="Total Shares",'User Guide &amp; Settings'!$T$7*O13,'User Guide &amp; Settings'!$T$7)),MAX(IF('User Guide &amp; Settings'!$P$7="amount",(P13*'User Guide &amp; Settings'!$Q$7),IF('User Guide &amp; Settings'!$P$7="Total Shares",('User Guide &amp; Settings'!$Q$7*O13),'User Guide &amp; Settings'!$Q$7)),'User Guide &amp; Settings'!$R$7)))</f>
        <v>34.349999999999966</v>
      </c>
      <c r="T13">
        <f>P13+SUM(Q13:S13)</f>
        <v>22998.469999999979</v>
      </c>
      <c r="U13">
        <f>T13/O13</f>
        <v>2.2998470000000002</v>
      </c>
      <c r="V13">
        <f t="shared" ref="V13:V15" si="5">O13*J13</f>
        <v>21899.999999999978</v>
      </c>
      <c r="W13">
        <f>IF(IF('User Guide &amp; Settings'!$S$5="Amount",'User Guide &amp; Settings'!$T$5*V13,IF('User Guide &amp; Settings'!$S$5="Total Shares",'User Guide &amp; Settings'!$T$5*O13,'User Guide &amp; Settings'!$T$5))=0,MAX(IF('User Guide &amp; Settings'!$P$5="amount",(V13*'User Guide &amp; Settings'!$Q$5),IF('User Guide &amp; Settings'!$P$5="Total Shares",('User Guide &amp; Settings'!$Q$5*O13),'User Guide &amp; Settings'!$Q$5)),'User Guide &amp; Settings'!$R$5),MIN(IF('User Guide &amp; Settings'!$S$5="Amount",'User Guide &amp; Settings'!$T$5*V13,IF('User Guide &amp; Settings'!$S$5="Total Shares",'User Guide &amp; Settings'!$T$5*O13,'User Guide &amp; Settings'!$T$5)),MAX(IF('User Guide &amp; Settings'!$P$5="amount",(V13*'User Guide &amp; Settings'!$Q$5),IF('User Guide &amp; Settings'!$P$5="Total Shares",('User Guide &amp; Settings'!$Q$5*O13),'User Guide &amp; Settings'!$Q$5)),'User Guide &amp; Settings'!$R$5)))</f>
        <v>54.749999999999943</v>
      </c>
      <c r="X13">
        <f>IF(IF('User Guide &amp; Settings'!$S$6="Amount",'User Guide &amp; Settings'!$T$6*V13,IF('User Guide &amp; Settings'!$S$6="Total Shares",'User Guide &amp; Settings'!$T$6*O13,'User Guide &amp; Settings'!$T$6))=0,MAX(IF('User Guide &amp; Settings'!$P$6="amount",(V13*'User Guide &amp; Settings'!$Q$6),IF('User Guide &amp; Settings'!$P$6="Total Shares",('User Guide &amp; Settings'!$Q$6*O13),'User Guide &amp; Settings'!$Q$6)),'User Guide &amp; Settings'!$R$6),MIN(IF('User Guide &amp; Settings'!$S$6="Amount",'User Guide &amp; Settings'!$T$6*V13,IF('User Guide &amp; Settings'!$S$6="Total Shares",'User Guide &amp; Settings'!$T$6*O13,'User Guide &amp; Settings'!$T$6)),MAX(IF('User Guide &amp; Settings'!$P$6="amount",(V13*'User Guide &amp; Settings'!$Q$6),IF('User Guide &amp; Settings'!$P$6="Total Shares",('User Guide &amp; Settings'!$Q$6*O13),'User Guide &amp; Settings'!$Q$6)),'User Guide &amp; Settings'!$R$6)))</f>
        <v>6.5699999999999932</v>
      </c>
      <c r="Y13">
        <f>IF(IF('User Guide &amp; Settings'!$S$7="Amount",'User Guide &amp; Settings'!$T$7*V13,IF('User Guide &amp; Settings'!$S$7="Total Shares",'User Guide &amp; Settings'!$T$7*O13,'User Guide &amp; Settings'!$T$7))=0,MAX(IF('User Guide &amp; Settings'!$P$7="amount",(V13*'User Guide &amp; Settings'!$Q$7),IF('User Guide &amp; Settings'!$P$7="Total Shares",('User Guide &amp; Settings'!$Q$7*O13),'User Guide &amp; Settings'!$Q$7)),'User Guide &amp; Settings'!$R$7),MIN(IF('User Guide &amp; Settings'!$S$7="Amount",'User Guide &amp; Settings'!$T$7*V13,IF('User Guide &amp; Settings'!$S$7="Total Shares",'User Guide &amp; Settings'!$T$7*O13,'User Guide &amp; Settings'!$T$7)),MAX(IF('User Guide &amp; Settings'!$P$7="amount",(V13*'User Guide &amp; Settings'!$Q$7),IF('User Guide &amp; Settings'!$P$7="Total Shares",('User Guide &amp; Settings'!$Q$7*O13),'User Guide &amp; Settings'!$Q$7)),'User Guide &amp; Settings'!$R$7)))</f>
        <v>32.849999999999966</v>
      </c>
      <c r="Z13">
        <f>IF(IF('User Guide &amp; Settings'!$S$8="Amount",'User Guide &amp; Settings'!$T$8*V13,IF('User Guide &amp; Settings'!$S$8="Total Shares",'User Guide &amp; Settings'!$T$8*O13,'User Guide &amp; Settings'!$T$8))=0,MAX(IF('User Guide &amp; Settings'!$P$8="amount",(V13*'User Guide &amp; Settings'!$Q$8),IF('User Guide &amp; Settings'!$P$8="Total Shares",('User Guide &amp; Settings'!$Q$8*O13),'User Guide &amp; Settings'!$Q$8)),'User Guide &amp; Settings'!$R$8),MIN(IF('User Guide &amp; Settings'!$S$8="Amount",'User Guide &amp; Settings'!$T$8*V13,IF('User Guide &amp; Settings'!$S$8="Total Shares",'User Guide &amp; Settings'!$T$8*O13,'User Guide &amp; Settings'!$T$8)),MAX(IF('User Guide &amp; Settings'!$P$8="amount",(V13*'User Guide &amp; Settings'!$Q$8),IF('User Guide &amp; Settings'!$P$8="Total Shares",('User Guide &amp; Settings'!$Q$8*O13),'User Guide &amp; Settings'!$Q$8)),'User Guide &amp; Settings'!$R$8)))</f>
        <v>131.39999999999986</v>
      </c>
      <c r="AA13">
        <f>V13-SUM(W13:Z13)</f>
        <v>21674.429999999978</v>
      </c>
      <c r="AB13">
        <f>AA13/O13</f>
        <v>2.167443</v>
      </c>
      <c r="AC13">
        <f t="shared" ref="AC13:AC15" si="6">AJ13*F13</f>
        <v>21147.397359596358</v>
      </c>
      <c r="AD13">
        <f>IF(IF('User Guide &amp; Settings'!$S$5="Amount",'User Guide &amp; Settings'!$T$5*AC13,IF('User Guide &amp; Settings'!$S$5="Total Shares",'User Guide &amp; Settings'!$T$5*AJ13,'User Guide &amp; Settings'!$T$5))=0,MAX(IF('User Guide &amp; Settings'!$P$5="amount",(AC13*'User Guide &amp; Settings'!$Q$5),IF('User Guide &amp; Settings'!$P$5="Total Shares",('User Guide &amp; Settings'!$Q$5*AJ13),'User Guide &amp; Settings'!$Q$5)),'User Guide &amp; Settings'!$R$5),MIN(IF('User Guide &amp; Settings'!$S$5="Amount",'User Guide &amp; Settings'!$T$5*AC13,IF('User Guide &amp; Settings'!$S$5="Total Shares",'User Guide &amp; Settings'!$T$5*AJ13,'User Guide &amp; Settings'!$T$5)),MAX(IF('User Guide &amp; Settings'!$P$5="amount",(AC13*'User Guide &amp; Settings'!$Q$5),IF('User Guide &amp; Settings'!$P$5="Total Shares",('User Guide &amp; Settings'!$Q$5*AJ13),'User Guide &amp; Settings'!$Q$5)),'User Guide &amp; Settings'!$R$5)))</f>
        <v>52.868493398990893</v>
      </c>
      <c r="AE13">
        <f>IF(IF('User Guide &amp; Settings'!$S$6="Amount",'User Guide &amp; Settings'!$T$6*AC13,IF('User Guide &amp; Settings'!$S$6="Total Shares",'User Guide &amp; Settings'!$T$6*AJ13,'User Guide &amp; Settings'!$T$6))=0,MAX(IF('User Guide &amp; Settings'!$P$6="amount",(AC13*'User Guide &amp; Settings'!$Q$6),IF('User Guide &amp; Settings'!$P$6="Total Shares",('User Guide &amp; Settings'!$Q$6*AJ13),'User Guide &amp; Settings'!$Q$6)),'User Guide &amp; Settings'!$R$6),MIN(IF('User Guide &amp; Settings'!$S$6="Amount",'User Guide &amp; Settings'!$T$6*AC13,IF('User Guide &amp; Settings'!$S$6="Total Shares",'User Guide &amp; Settings'!$T$6*AJ13,'User Guide &amp; Settings'!$T$6)),MAX(IF('User Guide &amp; Settings'!$P$6="amount",(AC13*'User Guide &amp; Settings'!$Q$6),IF('User Guide &amp; Settings'!$P$6="Total Shares",('User Guide &amp; Settings'!$Q$6*AJ13),'User Guide &amp; Settings'!$Q$6)),'User Guide &amp; Settings'!$R$6)))</f>
        <v>6.3442192078789068</v>
      </c>
      <c r="AF13">
        <f>IF(IF('User Guide &amp; Settings'!$S$7="Amount",'User Guide &amp; Settings'!$T$7*AC13,IF('User Guide &amp; Settings'!$S$7="Total Shares",'User Guide &amp; Settings'!$T$7*AJ13,'User Guide &amp; Settings'!$T$7))=0,MAX(IF('User Guide &amp; Settings'!$P$7="amount",(AC13*'User Guide &amp; Settings'!$Q$7),IF('User Guide &amp; Settings'!$P$7="Total Shares",('User Guide &amp; Settings'!$Q$7*AJ13),'User Guide &amp; Settings'!$Q$7)),'User Guide &amp; Settings'!$R$7),MIN(IF('User Guide &amp; Settings'!$S$7="Amount",'User Guide &amp; Settings'!$T$7*AC13,IF('User Guide &amp; Settings'!$S$7="Total Shares",'User Guide &amp; Settings'!$T$7*AKV13,'User Guide &amp; Settings'!$T$7)),MAX(IF('User Guide &amp; Settings'!$P$7="amount",(AC13*'User Guide &amp; Settings'!$Q$7),IF('User Guide &amp; Settings'!$P$7="Total Shares",('User Guide &amp; Settings'!$Q$7*AJ13),'User Guide &amp; Settings'!$Q$7)),'User Guide &amp; Settings'!$R$7)))</f>
        <v>31.721096039394538</v>
      </c>
      <c r="AG13">
        <f>IF(IF('User Guide &amp; Settings'!$S$8="Amount",'User Guide &amp; Settings'!$T$8*AC13,IF('User Guide &amp; Settings'!$S$8="Total Shares",'User Guide &amp; Settings'!$T$8*AJ13,'User Guide &amp; Settings'!$T$8))=0,MAX(IF('User Guide &amp; Settings'!$P$8="amount",(AC13*'User Guide &amp; Settings'!$Q$8),IF('User Guide &amp; Settings'!$P$8="Total Shares",('User Guide &amp; Settings'!$Q$8*AKV13),'User Guide &amp; Settings'!$Q$8)),'User Guide &amp; Settings'!$R$8),MIN(IF('User Guide &amp; Settings'!$S$8="Amount",'User Guide &amp; Settings'!$T$8*AC13,IF('User Guide &amp; Settings'!$S$8="Total Shares",'User Guide &amp; Settings'!$T$8*AJ13,'User Guide &amp; Settings'!$T$8)),MAX(IF('User Guide &amp; Settings'!$P$8="amount",(AC13*'User Guide &amp; Settings'!$Q$8),IF('User Guide &amp; Settings'!$P$8="Total Shares",('User Guide &amp; Settings'!$Q$8*AJ13),'User Guide &amp; Settings'!$Q$8)),'User Guide &amp; Settings'!$R$8)))</f>
        <v>126.88438415757815</v>
      </c>
      <c r="AJ13" s="342">
        <f>IF(D13="","",IF($D$8="Maximum shares",M13,IFERROR(IF(IF(K13=5,MROUND(Sheet2!A13,5),IF($D$9="Board lot",ROUND(Sheet2!A13,AX13),$D$7/(U13-AB13)))&gt;M13,M13,IF(K13=5,MROUND(Sheet2!A13,5),IF($D$9="Board lot",ROUND(Sheet2!A13,AX13),$D$7/(U13-AB13)))),"")))</f>
        <v>7552.6419141415563</v>
      </c>
      <c r="AK13" s="343">
        <f t="shared" ref="AK13:AK15" si="7">IFERROR(IF(AND(D13&gt;0,E13&gt;0,F13=""),"Enter Target",
IF(OR(AND(D13&gt;0,E13="",F13=""),AND(D13&gt;0,E13="",F13&gt;0)),"Enter Stop",
IF(AR13&lt;3,"",IF(F13&gt;D13,IF(E13&gt;=D13,"Invalid Stop",(AJ13*U13)),"Invalid Target")))),"")</f>
        <v>17369.920848312719</v>
      </c>
      <c r="AL13" s="341" t="str">
        <f t="shared" ref="AL13:AL15" si="8">IFERROR((TEXT(BA13/$D$7,"0.00"))&amp;"R","")</f>
        <v>-1.00R</v>
      </c>
      <c r="AM13" s="340" t="str">
        <f t="shared" ref="AM13:AM15" si="9">IFERROR((TEXT(BB13/$D$7,"0.00"))&amp;"R","")</f>
        <v>3.56R</v>
      </c>
      <c r="AN13" s="344">
        <f t="shared" ref="AN13:AN15" si="10">IFERROR(IF(AR13&lt;3,"",(BB13/$D$7)/(-BA13/$D$7))+A13,"")</f>
        <v>3.5597583184797905</v>
      </c>
      <c r="AO13" s="345" t="str">
        <f>IF(AL13="","",TEXT(BA13,"0,0.0")&amp;" ("&amp;TEXT(AZ13,"0.00%")&amp;")")</f>
        <v>-1,000.0 (-5.76%)</v>
      </c>
      <c r="AP13" s="346" t="str">
        <f>IF(AM13="","",TEXT(BB13,"0,0.0")&amp;" ("&amp;TEXT(BC13,"0.00%")&amp;")")</f>
        <v>3,559.7 (20.49%)</v>
      </c>
      <c r="AQ13" s="361" t="s">
        <v>378</v>
      </c>
      <c r="AR13" s="474">
        <f t="shared" ref="AR13:AR15" si="11">COUNT(D13:F13)</f>
        <v>3</v>
      </c>
      <c r="AV13">
        <f>IFERROR(INDEX(Sheet1!E:E,MATCH(C13,Sheet1!B:B,0)),"")</f>
        <v>2.66</v>
      </c>
      <c r="AX13">
        <f t="shared" ref="AX13:AX15" si="12">IF(K13=10,-1,IF(K13=100,-2,IF(K13=1000,-3,IF(K13=10000,-4,IF(K13=100000,-5,0)))))</f>
        <v>-3</v>
      </c>
      <c r="AZ13">
        <f t="shared" ref="AZ13:AZ15" si="13">IFERROR((BA13/AK13),"")</f>
        <v>-5.7570786230562471E-2</v>
      </c>
      <c r="BA13">
        <f t="shared" ref="BA13:BA15" si="14">IFERROR(IF(AR13&lt;3,"",(AJ13*AB13)-AK13),"")</f>
        <v>-1000.0000000000018</v>
      </c>
      <c r="BB13">
        <f t="shared" ref="BB13:BB15" si="15">IFERROR(IF(AR13&lt;3,"",AC13-AD13-AE13-AF13-AG13-AK13),"")</f>
        <v>3559.6583184797964</v>
      </c>
      <c r="BC13">
        <f t="shared" ref="BC13:BC15" si="16">IFERROR(BB13/AK13,"")</f>
        <v>0.20493232810704345</v>
      </c>
    </row>
    <row r="14" spans="1:55" ht="20.100000000000001" customHeight="1" x14ac:dyDescent="0.3">
      <c r="A14" s="308">
        <v>2.0000000000000001E-4</v>
      </c>
      <c r="B14" s="513">
        <v>43392</v>
      </c>
      <c r="C14" s="359" t="s">
        <v>53</v>
      </c>
      <c r="D14" s="360">
        <v>16.88</v>
      </c>
      <c r="E14" s="360">
        <v>16.420000000000002</v>
      </c>
      <c r="F14" s="360">
        <v>19.399999999999999</v>
      </c>
      <c r="G14" s="515">
        <v>16.3</v>
      </c>
      <c r="J14">
        <f>IF(D14="","",IF($AS$6="Cutloss",#REF!,E14))</f>
        <v>16.420000000000002</v>
      </c>
      <c r="K14">
        <f>IFERROR(IF(AND(D14&gt;='User Guide &amp; Settings'!$Z$5,D14&lt;='User Guide &amp; Settings'!$AA$5),'User Guide &amp; Settings'!$AC$5,IF(AND(D14&gt;='User Guide &amp; Settings'!$Z$4,D14&lt;='User Guide &amp; Settings'!$AA$4),'User Guide &amp; Settings'!$AC$4,IF(AND(D14&gt;='User Guide &amp; Settings'!$Z$6,D14&lt;='User Guide &amp; Settings'!$AA$7),'User Guide &amp; Settings'!$AC$6,IF(AND(D14&gt;='User Guide &amp; Settings'!$Z$8,D14&lt;='User Guide &amp; Settings'!$AA$8),'User Guide &amp; Settings'!$AC$8,IF(AND(D14&gt;='User Guide &amp; Settings'!$Z$9,D14&lt;='User Guide &amp; Settings'!$AA$23),'User Guide &amp; Settings'!$AC$23,IF(AND(D14&gt;='User Guide &amp; Settings'!$Z$24,D14&lt;='User Guide &amp; Settings'!$AA$27),'User Guide &amp; Settings'!$AC$27,IF(D14&gt;='User Guide &amp; Settings'!$Z$28,'User Guide &amp; Settings'!$AC$28,0))))))),"")</f>
        <v>100</v>
      </c>
      <c r="L14">
        <f t="shared" si="1"/>
        <v>2369.668246445498</v>
      </c>
      <c r="M14">
        <f t="shared" si="2"/>
        <v>2369.668246445498</v>
      </c>
      <c r="O14">
        <f t="shared" si="3"/>
        <v>2173.9130434782737</v>
      </c>
      <c r="P14">
        <f t="shared" si="4"/>
        <v>36695.652173913259</v>
      </c>
      <c r="Q14">
        <f>IF(IF('User Guide &amp; Settings'!$S$5="Amount",'User Guide &amp; Settings'!$T$5*P14,IF('User Guide &amp; Settings'!$S$5="Total Shares",'User Guide &amp; Settings'!$T$5*O14,'User Guide &amp; Settings'!$T$5))=0,MAX(IF('User Guide &amp; Settings'!$P$5="amount",(P14*'User Guide &amp; Settings'!$Q$5),IF('User Guide &amp; Settings'!$P$5="Total Shares",('User Guide &amp; Settings'!$Q$5*O14),'User Guide &amp; Settings'!$Q$5)),'User Guide &amp; Settings'!$R$5),MIN(IF('User Guide &amp; Settings'!$S$5="Amount",'User Guide &amp; Settings'!$T$5*P14,IF('User Guide &amp; Settings'!$S$5="Total Shares",'User Guide &amp; Settings'!$T$5*O14,'User Guide &amp; Settings'!$T$5)),MAX(IF('User Guide &amp; Settings'!$P$5="amount",(P14*'User Guide &amp; Settings'!$Q$5),IF('User Guide &amp; Settings'!$P$5="Total Shares",('User Guide &amp; Settings'!$Q$5*O14),'User Guide &amp; Settings'!$Q$5)),'User Guide &amp; Settings'!$R$5)))</f>
        <v>91.739130434783149</v>
      </c>
      <c r="R14">
        <f>IF(IF('User Guide &amp; Settings'!$S$6="Amount",'User Guide &amp; Settings'!$T$6*P14,IF('User Guide &amp; Settings'!$S$6="Total Shares",'User Guide &amp; Settings'!$T$6*O14,'User Guide &amp; Settings'!$T$6))=0,MAX(IF('User Guide &amp; Settings'!$P$6="amount",(P14*'User Guide &amp; Settings'!$Q$6),IF('User Guide &amp; Settings'!$P$6="Total Shares",('User Guide &amp; Settings'!$Q$6*O14),'User Guide &amp; Settings'!$Q$6)),'User Guide &amp; Settings'!$R$6),MIN(IF('User Guide &amp; Settings'!$S$6="Amount",'User Guide &amp; Settings'!$T$6*P14,IF('User Guide &amp; Settings'!$S$6="Total Shares",'User Guide &amp; Settings'!$T$6*O14,'User Guide &amp; Settings'!$T$6)),MAX(IF('User Guide &amp; Settings'!$P$6="amount",(P14*'User Guide &amp; Settings'!$Q$6),IF('User Guide &amp; Settings'!$P$6="Total Shares",('User Guide &amp; Settings'!$Q$6*O14),'User Guide &amp; Settings'!$Q$6)),'User Guide &amp; Settings'!$R$6)))</f>
        <v>11.008695652173976</v>
      </c>
      <c r="S14">
        <f>IF(IF('User Guide &amp; Settings'!$S$7="Amount",'User Guide &amp; Settings'!$T$7*P14,IF('User Guide &amp; Settings'!$S$7="Total Shares",'User Guide &amp; Settings'!$T$7*O14,'User Guide &amp; Settings'!$T$7))=0,MAX(IF('User Guide &amp; Settings'!$P$7="amount",(P14*'User Guide &amp; Settings'!$Q$7),IF('User Guide &amp; Settings'!$P$7="Total Shares",('User Guide &amp; Settings'!$Q$7*O14),'User Guide &amp; Settings'!$Q$7)),'User Guide &amp; Settings'!$R$7),MIN(IF('User Guide &amp; Settings'!$S$7="Amount",'User Guide &amp; Settings'!$T$7*P14,IF('User Guide &amp; Settings'!$S$7="Total Shares",'User Guide &amp; Settings'!$T$7*O14,'User Guide &amp; Settings'!$T$7)),MAX(IF('User Guide &amp; Settings'!$P$7="amount",(P14*'User Guide &amp; Settings'!$Q$7),IF('User Guide &amp; Settings'!$P$7="Total Shares",('User Guide &amp; Settings'!$Q$7*O14),'User Guide &amp; Settings'!$Q$7)),'User Guide &amp; Settings'!$R$7)))</f>
        <v>55.04347826086989</v>
      </c>
      <c r="T14">
        <f t="shared" ref="T14:T15" si="17">P14+SUM(Q14:S14)</f>
        <v>36853.443478261084</v>
      </c>
      <c r="U14">
        <f t="shared" ref="U14:U15" si="18">T14/O14</f>
        <v>16.952583999999998</v>
      </c>
      <c r="V14">
        <f t="shared" si="5"/>
        <v>35695.652173913259</v>
      </c>
      <c r="W14">
        <f>IF(IF('User Guide &amp; Settings'!$S$5="Amount",'User Guide &amp; Settings'!$T$5*V14,IF('User Guide &amp; Settings'!$S$5="Total Shares",'User Guide &amp; Settings'!$T$5*O14,'User Guide &amp; Settings'!$T$5))=0,MAX(IF('User Guide &amp; Settings'!$P$5="amount",(V14*'User Guide &amp; Settings'!$Q$5),IF('User Guide &amp; Settings'!$P$5="Total Shares",('User Guide &amp; Settings'!$Q$5*O14),'User Guide &amp; Settings'!$Q$5)),'User Guide &amp; Settings'!$R$5),MIN(IF('User Guide &amp; Settings'!$S$5="Amount",'User Guide &amp; Settings'!$T$5*V14,IF('User Guide &amp; Settings'!$S$5="Total Shares",'User Guide &amp; Settings'!$T$5*O14,'User Guide &amp; Settings'!$T$5)),MAX(IF('User Guide &amp; Settings'!$P$5="amount",(V14*'User Guide &amp; Settings'!$Q$5),IF('User Guide &amp; Settings'!$P$5="Total Shares",('User Guide &amp; Settings'!$Q$5*O14),'User Guide &amp; Settings'!$Q$5)),'User Guide &amp; Settings'!$R$5)))</f>
        <v>89.239130434783149</v>
      </c>
      <c r="X14">
        <f>IF(IF('User Guide &amp; Settings'!$S$6="Amount",'User Guide &amp; Settings'!$T$6*V14,IF('User Guide &amp; Settings'!$S$6="Total Shares",'User Guide &amp; Settings'!$T$6*O14,'User Guide &amp; Settings'!$T$6))=0,MAX(IF('User Guide &amp; Settings'!$P$6="amount",(V14*'User Guide &amp; Settings'!$Q$6),IF('User Guide &amp; Settings'!$P$6="Total Shares",('User Guide &amp; Settings'!$Q$6*O14),'User Guide &amp; Settings'!$Q$6)),'User Guide &amp; Settings'!$R$6),MIN(IF('User Guide &amp; Settings'!$S$6="Amount",'User Guide &amp; Settings'!$T$6*V14,IF('User Guide &amp; Settings'!$S$6="Total Shares",'User Guide &amp; Settings'!$T$6*O14,'User Guide &amp; Settings'!$T$6)),MAX(IF('User Guide &amp; Settings'!$P$6="amount",(V14*'User Guide &amp; Settings'!$Q$6),IF('User Guide &amp; Settings'!$P$6="Total Shares",('User Guide &amp; Settings'!$Q$6*O14),'User Guide &amp; Settings'!$Q$6)),'User Guide &amp; Settings'!$R$6)))</f>
        <v>10.708695652173976</v>
      </c>
      <c r="Y14">
        <f>IF(IF('User Guide &amp; Settings'!$S$7="Amount",'User Guide &amp; Settings'!$T$7*V14,IF('User Guide &amp; Settings'!$S$7="Total Shares",'User Guide &amp; Settings'!$T$7*O14,'User Guide &amp; Settings'!$T$7))=0,MAX(IF('User Guide &amp; Settings'!$P$7="amount",(V14*'User Guide &amp; Settings'!$Q$7),IF('User Guide &amp; Settings'!$P$7="Total Shares",('User Guide &amp; Settings'!$Q$7*O14),'User Guide &amp; Settings'!$Q$7)),'User Guide &amp; Settings'!$R$7),MIN(IF('User Guide &amp; Settings'!$S$7="Amount",'User Guide &amp; Settings'!$T$7*V14,IF('User Guide &amp; Settings'!$S$7="Total Shares",'User Guide &amp; Settings'!$T$7*O14,'User Guide &amp; Settings'!$T$7)),MAX(IF('User Guide &amp; Settings'!$P$7="amount",(V14*'User Guide &amp; Settings'!$Q$7),IF('User Guide &amp; Settings'!$P$7="Total Shares",('User Guide &amp; Settings'!$Q$7*O14),'User Guide &amp; Settings'!$Q$7)),'User Guide &amp; Settings'!$R$7)))</f>
        <v>53.54347826086989</v>
      </c>
      <c r="Z14">
        <f>IF(IF('User Guide &amp; Settings'!$S$8="Amount",'User Guide &amp; Settings'!$T$8*V14,IF('User Guide &amp; Settings'!$S$8="Total Shares",'User Guide &amp; Settings'!$T$8*O14,'User Guide &amp; Settings'!$T$8))=0,MAX(IF('User Guide &amp; Settings'!$P$8="amount",(V14*'User Guide &amp; Settings'!$Q$8),IF('User Guide &amp; Settings'!$P$8="Total Shares",('User Guide &amp; Settings'!$Q$8*O14),'User Guide &amp; Settings'!$Q$8)),'User Guide &amp; Settings'!$R$8),MIN(IF('User Guide &amp; Settings'!$S$8="Amount",'User Guide &amp; Settings'!$T$8*V14,IF('User Guide &amp; Settings'!$S$8="Total Shares",'User Guide &amp; Settings'!$T$8*O14,'User Guide &amp; Settings'!$T$8)),MAX(IF('User Guide &amp; Settings'!$P$8="amount",(V14*'User Guide &amp; Settings'!$Q$8),IF('User Guide &amp; Settings'!$P$8="Total Shares",('User Guide &amp; Settings'!$Q$8*O14),'User Guide &amp; Settings'!$Q$8)),'User Guide &amp; Settings'!$R$8)))</f>
        <v>214.17391304347956</v>
      </c>
      <c r="AA14">
        <f t="shared" ref="AA14:AA15" si="19">V14-SUM(W14:Z14)</f>
        <v>35327.986956521949</v>
      </c>
      <c r="AB14">
        <f t="shared" ref="AB14:AB15" si="20">AA14/O14</f>
        <v>16.250874</v>
      </c>
      <c r="AC14">
        <f t="shared" si="6"/>
        <v>27646.748656852604</v>
      </c>
      <c r="AD14">
        <f>IF(IF('User Guide &amp; Settings'!$S$5="Amount",'User Guide &amp; Settings'!$T$5*AC14,IF('User Guide &amp; Settings'!$S$5="Total Shares",'User Guide &amp; Settings'!$T$5*AJ14,'User Guide &amp; Settings'!$T$5))=0,MAX(IF('User Guide &amp; Settings'!$P$5="amount",(AC14*'User Guide &amp; Settings'!$Q$5),IF('User Guide &amp; Settings'!$P$5="Total Shares",('User Guide &amp; Settings'!$Q$5*AJ14),'User Guide &amp; Settings'!$Q$5)),'User Guide &amp; Settings'!$R$5),MIN(IF('User Guide &amp; Settings'!$S$5="Amount",'User Guide &amp; Settings'!$T$5*AC14,IF('User Guide &amp; Settings'!$S$5="Total Shares",'User Guide &amp; Settings'!$T$5*AJ14,'User Guide &amp; Settings'!$T$5)),MAX(IF('User Guide &amp; Settings'!$P$5="amount",(AC14*'User Guide &amp; Settings'!$Q$5),IF('User Guide &amp; Settings'!$P$5="Total Shares",('User Guide &amp; Settings'!$Q$5*AJ14),'User Guide &amp; Settings'!$Q$5)),'User Guide &amp; Settings'!$R$5)))</f>
        <v>69.116871642131514</v>
      </c>
      <c r="AE14">
        <f>IF(IF('User Guide &amp; Settings'!$S$6="Amount",'User Guide &amp; Settings'!$T$6*AC14,IF('User Guide &amp; Settings'!$S$6="Total Shares",'User Guide &amp; Settings'!$T$6*AJ14,'User Guide &amp; Settings'!$T$6))=0,MAX(IF('User Guide &amp; Settings'!$P$6="amount",(AC14*'User Guide &amp; Settings'!$Q$6),IF('User Guide &amp; Settings'!$P$6="Total Shares",('User Guide &amp; Settings'!$Q$6*AJ14),'User Guide &amp; Settings'!$Q$6)),'User Guide &amp; Settings'!$R$6),MIN(IF('User Guide &amp; Settings'!$S$6="Amount",'User Guide &amp; Settings'!$T$6*AC14,IF('User Guide &amp; Settings'!$S$6="Total Shares",'User Guide &amp; Settings'!$T$6*AJ14,'User Guide &amp; Settings'!$T$6)),MAX(IF('User Guide &amp; Settings'!$P$6="amount",(AC14*'User Guide &amp; Settings'!$Q$6),IF('User Guide &amp; Settings'!$P$6="Total Shares",('User Guide &amp; Settings'!$Q$6*AJ14),'User Guide &amp; Settings'!$Q$6)),'User Guide &amp; Settings'!$R$6)))</f>
        <v>8.2940245970557811</v>
      </c>
      <c r="AF14">
        <f>IF(IF('User Guide &amp; Settings'!$S$7="Amount",'User Guide &amp; Settings'!$T$7*AC14,IF('User Guide &amp; Settings'!$S$7="Total Shares",'User Guide &amp; Settings'!$T$7*AJ14,'User Guide &amp; Settings'!$T$7))=0,MAX(IF('User Guide &amp; Settings'!$P$7="amount",(AC14*'User Guide &amp; Settings'!$Q$7),IF('User Guide &amp; Settings'!$P$7="Total Shares",('User Guide &amp; Settings'!$Q$7*AJ14),'User Guide &amp; Settings'!$Q$7)),'User Guide &amp; Settings'!$R$7),MIN(IF('User Guide &amp; Settings'!$S$7="Amount",'User Guide &amp; Settings'!$T$7*AC14,IF('User Guide &amp; Settings'!$S$7="Total Shares",'User Guide &amp; Settings'!$T$7*AKV14,'User Guide &amp; Settings'!$T$7)),MAX(IF('User Guide &amp; Settings'!$P$7="amount",(AC14*'User Guide &amp; Settings'!$Q$7),IF('User Guide &amp; Settings'!$P$7="Total Shares",('User Guide &amp; Settings'!$Q$7*AJ14),'User Guide &amp; Settings'!$Q$7)),'User Guide &amp; Settings'!$R$7)))</f>
        <v>41.470122985278906</v>
      </c>
      <c r="AG14">
        <f>IF(IF('User Guide &amp; Settings'!$S$8="Amount",'User Guide &amp; Settings'!$T$8*AC14,IF('User Guide &amp; Settings'!$S$8="Total Shares",'User Guide &amp; Settings'!$T$8*AJ14,'User Guide &amp; Settings'!$T$8))=0,MAX(IF('User Guide &amp; Settings'!$P$8="amount",(AC14*'User Guide &amp; Settings'!$Q$8),IF('User Guide &amp; Settings'!$P$8="Total Shares",('User Guide &amp; Settings'!$Q$8*AKV14),'User Guide &amp; Settings'!$Q$8)),'User Guide &amp; Settings'!$R$8),MIN(IF('User Guide &amp; Settings'!$S$8="Amount",'User Guide &amp; Settings'!$T$8*AC14,IF('User Guide &amp; Settings'!$S$8="Total Shares",'User Guide &amp; Settings'!$T$8*AJ14,'User Guide &amp; Settings'!$T$8)),MAX(IF('User Guide &amp; Settings'!$P$8="amount",(AC14*'User Guide &amp; Settings'!$Q$8),IF('User Guide &amp; Settings'!$P$8="Total Shares",('User Guide &amp; Settings'!$Q$8*AJ14),'User Guide &amp; Settings'!$Q$8)),'User Guide &amp; Settings'!$R$8)))</f>
        <v>165.88049194111562</v>
      </c>
      <c r="AJ14" s="349">
        <f>IF(D14="","",IF($D$8="Maximum shares",M14,IFERROR(IF(IF(K14=5,MROUND(Sheet2!A14,5),IF($D$9="Board lot",ROUND(Sheet2!A14,AX14),$D$7/(U14-AB14)))&gt;M14,M14,IF(K14=5,MROUND(Sheet2!A14,5),IF($D$9="Board lot",ROUND(Sheet2!A14,AX14),$D$7/(U14-AB14)))),"")))</f>
        <v>1425.0901369511653</v>
      </c>
      <c r="AK14" s="350">
        <f t="shared" si="7"/>
        <v>24158.960254236132</v>
      </c>
      <c r="AL14" s="348" t="str">
        <f t="shared" si="8"/>
        <v>-1.00R</v>
      </c>
      <c r="AM14" s="347" t="str">
        <f t="shared" si="9"/>
        <v>3.20R</v>
      </c>
      <c r="AN14" s="351">
        <f t="shared" si="10"/>
        <v>3.2032268914508886</v>
      </c>
      <c r="AO14" s="345" t="str">
        <f t="shared" ref="AO14:AO15" si="21">IF(AL14="","",TEXT(BA14,"0,0.0")&amp;" ("&amp;TEXT(AZ14,"0.00%")&amp;")")</f>
        <v>-1,000.0 (-4.14%)</v>
      </c>
      <c r="AP14" s="346" t="str">
        <f t="shared" ref="AP14:AP15" si="22">IF(AM14="","",TEXT(BB14,"0,0.0")&amp;" ("&amp;TEXT(BC14,"0.00%")&amp;")")</f>
        <v>3,203.0 (13.26%)</v>
      </c>
      <c r="AQ14" s="362" t="s">
        <v>378</v>
      </c>
      <c r="AR14" s="474">
        <f t="shared" si="11"/>
        <v>3</v>
      </c>
      <c r="AV14">
        <f>IFERROR(INDEX(Sheet1!E:E,MATCH(C14,Sheet1!B:B,0)),"")</f>
        <v>16.3</v>
      </c>
      <c r="AX14">
        <f t="shared" si="12"/>
        <v>-2</v>
      </c>
      <c r="AZ14">
        <f t="shared" si="13"/>
        <v>-4.1392509838028141E-2</v>
      </c>
      <c r="BA14">
        <f t="shared" si="14"/>
        <v>-1000</v>
      </c>
      <c r="BB14">
        <f t="shared" si="15"/>
        <v>3203.0268914508888</v>
      </c>
      <c r="BC14">
        <f t="shared" si="16"/>
        <v>0.13258132211584961</v>
      </c>
    </row>
    <row r="15" spans="1:55" ht="20.100000000000001" customHeight="1" x14ac:dyDescent="0.3">
      <c r="A15" s="308">
        <v>2.9999999999999997E-4</v>
      </c>
      <c r="B15" s="513">
        <v>43392</v>
      </c>
      <c r="C15" s="359" t="s">
        <v>10</v>
      </c>
      <c r="D15" s="360">
        <v>1.25</v>
      </c>
      <c r="E15" s="360">
        <v>1.1599999999999999</v>
      </c>
      <c r="F15" s="360">
        <v>1.65</v>
      </c>
      <c r="G15" s="515">
        <v>1.27</v>
      </c>
      <c r="J15">
        <f>IF(D15="","",IF($AS$6="Cutloss",#REF!,E15))</f>
        <v>1.1599999999999999</v>
      </c>
      <c r="K15">
        <f>IFERROR(IF(AND(D15&gt;='User Guide &amp; Settings'!$Z$5,D15&lt;='User Guide &amp; Settings'!$AA$5),'User Guide &amp; Settings'!$AC$5,IF(AND(D15&gt;='User Guide &amp; Settings'!$Z$4,D15&lt;='User Guide &amp; Settings'!$AA$4),'User Guide &amp; Settings'!$AC$4,IF(AND(D15&gt;='User Guide &amp; Settings'!$Z$6,D15&lt;='User Guide &amp; Settings'!$AA$7),'User Guide &amp; Settings'!$AC$6,IF(AND(D15&gt;='User Guide &amp; Settings'!$Z$8,D15&lt;='User Guide &amp; Settings'!$AA$8),'User Guide &amp; Settings'!$AC$8,IF(AND(D15&gt;='User Guide &amp; Settings'!$Z$9,D15&lt;='User Guide &amp; Settings'!$AA$23),'User Guide &amp; Settings'!$AC$23,IF(AND(D15&gt;='User Guide &amp; Settings'!$Z$24,D15&lt;='User Guide &amp; Settings'!$AA$27),'User Guide &amp; Settings'!$AC$27,IF(D15&gt;='User Guide &amp; Settings'!$Z$28,'User Guide &amp; Settings'!$AC$28,0))))))),"")</f>
        <v>1000</v>
      </c>
      <c r="L15">
        <f t="shared" si="1"/>
        <v>32000</v>
      </c>
      <c r="M15">
        <f t="shared" si="2"/>
        <v>32000</v>
      </c>
      <c r="O15">
        <f t="shared" si="3"/>
        <v>11111.1111111111</v>
      </c>
      <c r="P15">
        <f t="shared" si="4"/>
        <v>13888.888888888876</v>
      </c>
      <c r="Q15">
        <f>IF(IF('User Guide &amp; Settings'!$S$5="Amount",'User Guide &amp; Settings'!$T$5*P15,IF('User Guide &amp; Settings'!$S$5="Total Shares",'User Guide &amp; Settings'!$T$5*O15,'User Guide &amp; Settings'!$T$5))=0,MAX(IF('User Guide &amp; Settings'!$P$5="amount",(P15*'User Guide &amp; Settings'!$Q$5),IF('User Guide &amp; Settings'!$P$5="Total Shares",('User Guide &amp; Settings'!$Q$5*O15),'User Guide &amp; Settings'!$Q$5)),'User Guide &amp; Settings'!$R$5),MIN(IF('User Guide &amp; Settings'!$S$5="Amount",'User Guide &amp; Settings'!$T$5*P15,IF('User Guide &amp; Settings'!$S$5="Total Shares",'User Guide &amp; Settings'!$T$5*O15,'User Guide &amp; Settings'!$T$5)),MAX(IF('User Guide &amp; Settings'!$P$5="amount",(P15*'User Guide &amp; Settings'!$Q$5),IF('User Guide &amp; Settings'!$P$5="Total Shares",('User Guide &amp; Settings'!$Q$5*O15),'User Guide &amp; Settings'!$Q$5)),'User Guide &amp; Settings'!$R$5)))</f>
        <v>34.722222222222193</v>
      </c>
      <c r="R15">
        <f>IF(IF('User Guide &amp; Settings'!$S$6="Amount",'User Guide &amp; Settings'!$T$6*P15,IF('User Guide &amp; Settings'!$S$6="Total Shares",'User Guide &amp; Settings'!$T$6*O15,'User Guide &amp; Settings'!$T$6))=0,MAX(IF('User Guide &amp; Settings'!$P$6="amount",(P15*'User Guide &amp; Settings'!$Q$6),IF('User Guide &amp; Settings'!$P$6="Total Shares",('User Guide &amp; Settings'!$Q$6*O15),'User Guide &amp; Settings'!$Q$6)),'User Guide &amp; Settings'!$R$6),MIN(IF('User Guide &amp; Settings'!$S$6="Amount",'User Guide &amp; Settings'!$T$6*P15,IF('User Guide &amp; Settings'!$S$6="Total Shares",'User Guide &amp; Settings'!$T$6*O15,'User Guide &amp; Settings'!$T$6)),MAX(IF('User Guide &amp; Settings'!$P$6="amount",(P15*'User Guide &amp; Settings'!$Q$6),IF('User Guide &amp; Settings'!$P$6="Total Shares",('User Guide &amp; Settings'!$Q$6*O15),'User Guide &amp; Settings'!$Q$6)),'User Guide &amp; Settings'!$R$6)))</f>
        <v>4.1666666666666625</v>
      </c>
      <c r="S15">
        <f>IF(IF('User Guide &amp; Settings'!$S$7="Amount",'User Guide &amp; Settings'!$T$7*P15,IF('User Guide &amp; Settings'!$S$7="Total Shares",'User Guide &amp; Settings'!$T$7*O15,'User Guide &amp; Settings'!$T$7))=0,MAX(IF('User Guide &amp; Settings'!$P$7="amount",(P15*'User Guide &amp; Settings'!$Q$7),IF('User Guide &amp; Settings'!$P$7="Total Shares",('User Guide &amp; Settings'!$Q$7*O15),'User Guide &amp; Settings'!$Q$7)),'User Guide &amp; Settings'!$R$7),MIN(IF('User Guide &amp; Settings'!$S$7="Amount",'User Guide &amp; Settings'!$T$7*P15,IF('User Guide &amp; Settings'!$S$7="Total Shares",'User Guide &amp; Settings'!$T$7*O15,'User Guide &amp; Settings'!$T$7)),MAX(IF('User Guide &amp; Settings'!$P$7="amount",(P15*'User Guide &amp; Settings'!$Q$7),IF('User Guide &amp; Settings'!$P$7="Total Shares",('User Guide &amp; Settings'!$Q$7*O15),'User Guide &amp; Settings'!$Q$7)),'User Guide &amp; Settings'!$R$7)))</f>
        <v>20.833333333333314</v>
      </c>
      <c r="T15">
        <f t="shared" si="17"/>
        <v>13948.611111111099</v>
      </c>
      <c r="U15">
        <f t="shared" si="18"/>
        <v>1.2553750000000001</v>
      </c>
      <c r="V15">
        <f t="shared" si="5"/>
        <v>12888.888888888876</v>
      </c>
      <c r="W15">
        <f>IF(IF('User Guide &amp; Settings'!$S$5="Amount",'User Guide &amp; Settings'!$T$5*V15,IF('User Guide &amp; Settings'!$S$5="Total Shares",'User Guide &amp; Settings'!$T$5*O15,'User Guide &amp; Settings'!$T$5))=0,MAX(IF('User Guide &amp; Settings'!$P$5="amount",(V15*'User Guide &amp; Settings'!$Q$5),IF('User Guide &amp; Settings'!$P$5="Total Shares",('User Guide &amp; Settings'!$Q$5*O15),'User Guide &amp; Settings'!$Q$5)),'User Guide &amp; Settings'!$R$5),MIN(IF('User Guide &amp; Settings'!$S$5="Amount",'User Guide &amp; Settings'!$T$5*V15,IF('User Guide &amp; Settings'!$S$5="Total Shares",'User Guide &amp; Settings'!$T$5*O15,'User Guide &amp; Settings'!$T$5)),MAX(IF('User Guide &amp; Settings'!$P$5="amount",(V15*'User Guide &amp; Settings'!$Q$5),IF('User Guide &amp; Settings'!$P$5="Total Shares",('User Guide &amp; Settings'!$Q$5*O15),'User Guide &amp; Settings'!$Q$5)),'User Guide &amp; Settings'!$R$5)))</f>
        <v>32.222222222222193</v>
      </c>
      <c r="X15">
        <f>IF(IF('User Guide &amp; Settings'!$S$6="Amount",'User Guide &amp; Settings'!$T$6*V15,IF('User Guide &amp; Settings'!$S$6="Total Shares",'User Guide &amp; Settings'!$T$6*O15,'User Guide &amp; Settings'!$T$6))=0,MAX(IF('User Guide &amp; Settings'!$P$6="amount",(V15*'User Guide &amp; Settings'!$Q$6),IF('User Guide &amp; Settings'!$P$6="Total Shares",('User Guide &amp; Settings'!$Q$6*O15),'User Guide &amp; Settings'!$Q$6)),'User Guide &amp; Settings'!$R$6),MIN(IF('User Guide &amp; Settings'!$S$6="Amount",'User Guide &amp; Settings'!$T$6*V15,IF('User Guide &amp; Settings'!$S$6="Total Shares",'User Guide &amp; Settings'!$T$6*O15,'User Guide &amp; Settings'!$T$6)),MAX(IF('User Guide &amp; Settings'!$P$6="amount",(V15*'User Guide &amp; Settings'!$Q$6),IF('User Guide &amp; Settings'!$P$6="Total Shares",('User Guide &amp; Settings'!$Q$6*O15),'User Guide &amp; Settings'!$Q$6)),'User Guide &amp; Settings'!$R$6)))</f>
        <v>3.8666666666666623</v>
      </c>
      <c r="Y15">
        <f>IF(IF('User Guide &amp; Settings'!$S$7="Amount",'User Guide &amp; Settings'!$T$7*V15,IF('User Guide &amp; Settings'!$S$7="Total Shares",'User Guide &amp; Settings'!$T$7*O15,'User Guide &amp; Settings'!$T$7))=0,MAX(IF('User Guide &amp; Settings'!$P$7="amount",(V15*'User Guide &amp; Settings'!$Q$7),IF('User Guide &amp; Settings'!$P$7="Total Shares",('User Guide &amp; Settings'!$Q$7*O15),'User Guide &amp; Settings'!$Q$7)),'User Guide &amp; Settings'!$R$7),MIN(IF('User Guide &amp; Settings'!$S$7="Amount",'User Guide &amp; Settings'!$T$7*V15,IF('User Guide &amp; Settings'!$S$7="Total Shares",'User Guide &amp; Settings'!$T$7*O15,'User Guide &amp; Settings'!$T$7)),MAX(IF('User Guide &amp; Settings'!$P$7="amount",(V15*'User Guide &amp; Settings'!$Q$7),IF('User Guide &amp; Settings'!$P$7="Total Shares",('User Guide &amp; Settings'!$Q$7*O15),'User Guide &amp; Settings'!$Q$7)),'User Guide &amp; Settings'!$R$7)))</f>
        <v>19.333333333333314</v>
      </c>
      <c r="Z15">
        <f>IF(IF('User Guide &amp; Settings'!$S$8="Amount",'User Guide &amp; Settings'!$T$8*V15,IF('User Guide &amp; Settings'!$S$8="Total Shares",'User Guide &amp; Settings'!$T$8*O15,'User Guide &amp; Settings'!$T$8))=0,MAX(IF('User Guide &amp; Settings'!$P$8="amount",(V15*'User Guide &amp; Settings'!$Q$8),IF('User Guide &amp; Settings'!$P$8="Total Shares",('User Guide &amp; Settings'!$Q$8*O15),'User Guide &amp; Settings'!$Q$8)),'User Guide &amp; Settings'!$R$8),MIN(IF('User Guide &amp; Settings'!$S$8="Amount",'User Guide &amp; Settings'!$T$8*V15,IF('User Guide &amp; Settings'!$S$8="Total Shares",'User Guide &amp; Settings'!$T$8*O15,'User Guide &amp; Settings'!$T$8)),MAX(IF('User Guide &amp; Settings'!$P$8="amount",(V15*'User Guide &amp; Settings'!$Q$8),IF('User Guide &amp; Settings'!$P$8="Total Shares",('User Guide &amp; Settings'!$Q$8*O15),'User Guide &amp; Settings'!$Q$8)),'User Guide &amp; Settings'!$R$8)))</f>
        <v>77.333333333333258</v>
      </c>
      <c r="AA15">
        <f t="shared" si="19"/>
        <v>12756.13333333332</v>
      </c>
      <c r="AB15">
        <f t="shared" si="20"/>
        <v>1.1480519999999999</v>
      </c>
      <c r="AC15">
        <f t="shared" si="6"/>
        <v>15374.15092757373</v>
      </c>
      <c r="AD15">
        <f>IF(IF('User Guide &amp; Settings'!$S$5="Amount",'User Guide &amp; Settings'!$T$5*AC15,IF('User Guide &amp; Settings'!$S$5="Total Shares",'User Guide &amp; Settings'!$T$5*AJ15,'User Guide &amp; Settings'!$T$5))=0,MAX(IF('User Guide &amp; Settings'!$P$5="amount",(AC15*'User Guide &amp; Settings'!$Q$5),IF('User Guide &amp; Settings'!$P$5="Total Shares",('User Guide &amp; Settings'!$Q$5*AJ15),'User Guide &amp; Settings'!$Q$5)),'User Guide &amp; Settings'!$R$5),MIN(IF('User Guide &amp; Settings'!$S$5="Amount",'User Guide &amp; Settings'!$T$5*AC15,IF('User Guide &amp; Settings'!$S$5="Total Shares",'User Guide &amp; Settings'!$T$5*AJ15,'User Guide &amp; Settings'!$T$5)),MAX(IF('User Guide &amp; Settings'!$P$5="amount",(AC15*'User Guide &amp; Settings'!$Q$5),IF('User Guide &amp; Settings'!$P$5="Total Shares",('User Guide &amp; Settings'!$Q$5*AJ15),'User Guide &amp; Settings'!$Q$5)),'User Guide &amp; Settings'!$R$5)))</f>
        <v>38.435377318934329</v>
      </c>
      <c r="AE15">
        <f>IF(IF('User Guide &amp; Settings'!$S$6="Amount",'User Guide &amp; Settings'!$T$6*AC15,IF('User Guide &amp; Settings'!$S$6="Total Shares",'User Guide &amp; Settings'!$T$6*AJ15,'User Guide &amp; Settings'!$T$6))=0,MAX(IF('User Guide &amp; Settings'!$P$6="amount",(AC15*'User Guide &amp; Settings'!$Q$6),IF('User Guide &amp; Settings'!$P$6="Total Shares",('User Guide &amp; Settings'!$Q$6*AJ15),'User Guide &amp; Settings'!$Q$6)),'User Guide &amp; Settings'!$R$6),MIN(IF('User Guide &amp; Settings'!$S$6="Amount",'User Guide &amp; Settings'!$T$6*AC15,IF('User Guide &amp; Settings'!$S$6="Total Shares",'User Guide &amp; Settings'!$T$6*AJ15,'User Guide &amp; Settings'!$T$6)),MAX(IF('User Guide &amp; Settings'!$P$6="amount",(AC15*'User Guide &amp; Settings'!$Q$6),IF('User Guide &amp; Settings'!$P$6="Total Shares",('User Guide &amp; Settings'!$Q$6*AJ15),'User Guide &amp; Settings'!$Q$6)),'User Guide &amp; Settings'!$R$6)))</f>
        <v>4.6122452782721188</v>
      </c>
      <c r="AF15">
        <f>IF(IF('User Guide &amp; Settings'!$S$7="Amount",'User Guide &amp; Settings'!$T$7*AC15,IF('User Guide &amp; Settings'!$S$7="Total Shares",'User Guide &amp; Settings'!$T$7*AJ15,'User Guide &amp; Settings'!$T$7))=0,MAX(IF('User Guide &amp; Settings'!$P$7="amount",(AC15*'User Guide &amp; Settings'!$Q$7),IF('User Guide &amp; Settings'!$P$7="Total Shares",('User Guide &amp; Settings'!$Q$7*AJ15),'User Guide &amp; Settings'!$Q$7)),'User Guide &amp; Settings'!$R$7),MIN(IF('User Guide &amp; Settings'!$S$7="Amount",'User Guide &amp; Settings'!$T$7*AC15,IF('User Guide &amp; Settings'!$S$7="Total Shares",'User Guide &amp; Settings'!$T$7*AKV15,'User Guide &amp; Settings'!$T$7)),MAX(IF('User Guide &amp; Settings'!$P$7="amount",(AC15*'User Guide &amp; Settings'!$Q$7),IF('User Guide &amp; Settings'!$P$7="Total Shares",('User Guide &amp; Settings'!$Q$7*AJ15),'User Guide &amp; Settings'!$Q$7)),'User Guide &amp; Settings'!$R$7)))</f>
        <v>23.061226391360595</v>
      </c>
      <c r="AG15">
        <f>IF(IF('User Guide &amp; Settings'!$S$8="Amount",'User Guide &amp; Settings'!$T$8*AC15,IF('User Guide &amp; Settings'!$S$8="Total Shares",'User Guide &amp; Settings'!$T$8*AJ15,'User Guide &amp; Settings'!$T$8))=0,MAX(IF('User Guide &amp; Settings'!$P$8="amount",(AC15*'User Guide &amp; Settings'!$Q$8),IF('User Guide &amp; Settings'!$P$8="Total Shares",('User Guide &amp; Settings'!$Q$8*AKV15),'User Guide &amp; Settings'!$Q$8)),'User Guide &amp; Settings'!$R$8),MIN(IF('User Guide &amp; Settings'!$S$8="Amount",'User Guide &amp; Settings'!$T$8*AC15,IF('User Guide &amp; Settings'!$S$8="Total Shares",'User Guide &amp; Settings'!$T$8*AJ15,'User Guide &amp; Settings'!$T$8)),MAX(IF('User Guide &amp; Settings'!$P$8="amount",(AC15*'User Guide &amp; Settings'!$Q$8),IF('User Guide &amp; Settings'!$P$8="Total Shares",('User Guide &amp; Settings'!$Q$8*AJ15),'User Guide &amp; Settings'!$Q$8)),'User Guide &amp; Settings'!$R$8)))</f>
        <v>92.24490556544238</v>
      </c>
      <c r="AJ15" s="349">
        <f>IF(D15="","",IF($D$8="Maximum shares",M15,IFERROR(IF(IF(K15=5,MROUND(Sheet2!A15,5),IF($D$9="Board lot",ROUND(Sheet2!A15,AX15),$D$7/(U15-AB15)))&gt;M15,M15,IF(K15=5,MROUND(Sheet2!A15,5),IF($D$9="Board lot",ROUND(Sheet2!A15,AX15),$D$7/(U15-AB15)))),"")))</f>
        <v>9317.6672288325644</v>
      </c>
      <c r="AK15" s="350">
        <f t="shared" si="7"/>
        <v>11697.166497395681</v>
      </c>
      <c r="AL15" s="348" t="str">
        <f t="shared" si="8"/>
        <v>-1.00R</v>
      </c>
      <c r="AM15" s="347" t="str">
        <f t="shared" si="9"/>
        <v>3.52R</v>
      </c>
      <c r="AN15" s="351">
        <f t="shared" si="10"/>
        <v>3.5189306756240395</v>
      </c>
      <c r="AO15" s="345" t="str">
        <f t="shared" si="21"/>
        <v>-1,000.0 (-8.55%)</v>
      </c>
      <c r="AP15" s="346" t="str">
        <f t="shared" si="22"/>
        <v>3,518.6 (30.08%)</v>
      </c>
      <c r="AQ15" s="362"/>
      <c r="AR15" s="474">
        <f t="shared" si="11"/>
        <v>3</v>
      </c>
      <c r="AV15">
        <f>IFERROR(INDEX(Sheet1!E:E,MATCH(C15,Sheet1!B:B,0)),"")</f>
        <v>1.27</v>
      </c>
      <c r="AX15">
        <f t="shared" si="12"/>
        <v>-3</v>
      </c>
      <c r="AZ15">
        <f t="shared" si="13"/>
        <v>-8.549078960470001E-2</v>
      </c>
      <c r="BA15">
        <f t="shared" si="14"/>
        <v>-1000</v>
      </c>
      <c r="BB15">
        <f t="shared" si="15"/>
        <v>3518.6306756240392</v>
      </c>
      <c r="BC15">
        <f t="shared" si="16"/>
        <v>0.30081051478641818</v>
      </c>
    </row>
    <row r="16" spans="1:55" ht="20.100000000000001" customHeight="1" x14ac:dyDescent="0.3">
      <c r="A16" s="308"/>
      <c r="B16" s="513"/>
      <c r="C16" s="359"/>
      <c r="D16" s="360"/>
      <c r="E16" s="360"/>
      <c r="F16" s="360"/>
      <c r="G16" s="515"/>
      <c r="AJ16" s="349"/>
      <c r="AK16" s="350"/>
      <c r="AL16" s="348"/>
      <c r="AM16" s="347"/>
      <c r="AN16" s="351"/>
      <c r="AO16" s="345"/>
      <c r="AP16" s="346"/>
      <c r="AQ16" s="362"/>
      <c r="AR16" s="474"/>
    </row>
    <row r="17" spans="1:44" ht="20.100000000000001" customHeight="1" x14ac:dyDescent="0.3">
      <c r="A17" s="308"/>
      <c r="B17" s="513"/>
      <c r="C17" s="359"/>
      <c r="D17" s="360"/>
      <c r="E17" s="360"/>
      <c r="F17" s="360"/>
      <c r="G17" s="515"/>
      <c r="AJ17" s="349"/>
      <c r="AK17" s="350"/>
      <c r="AL17" s="348"/>
      <c r="AM17" s="347"/>
      <c r="AN17" s="351"/>
      <c r="AO17" s="345"/>
      <c r="AP17" s="346"/>
      <c r="AQ17" s="362"/>
      <c r="AR17" s="474"/>
    </row>
    <row r="18" spans="1:44" ht="20.100000000000001" customHeight="1" x14ac:dyDescent="0.3">
      <c r="A18" s="308"/>
      <c r="B18" s="513"/>
      <c r="C18" s="359"/>
      <c r="D18" s="360"/>
      <c r="E18" s="360"/>
      <c r="F18" s="360"/>
      <c r="G18" s="515"/>
      <c r="AJ18" s="349"/>
      <c r="AK18" s="350"/>
      <c r="AL18" s="348"/>
      <c r="AM18" s="347"/>
      <c r="AN18" s="351"/>
      <c r="AO18" s="345"/>
      <c r="AP18" s="346"/>
      <c r="AQ18" s="362"/>
      <c r="AR18" s="474"/>
    </row>
    <row r="19" spans="1:44" ht="20.100000000000001" customHeight="1" x14ac:dyDescent="0.3">
      <c r="A19" s="308"/>
      <c r="B19" s="513"/>
      <c r="C19" s="359"/>
      <c r="D19" s="360"/>
      <c r="E19" s="360"/>
      <c r="F19" s="360"/>
      <c r="G19" s="515"/>
      <c r="AJ19" s="349"/>
      <c r="AK19" s="350"/>
      <c r="AL19" s="348"/>
      <c r="AM19" s="347"/>
      <c r="AN19" s="351"/>
      <c r="AO19" s="345"/>
      <c r="AP19" s="346"/>
      <c r="AQ19" s="362"/>
      <c r="AR19" s="474"/>
    </row>
    <row r="20" spans="1:44" ht="20.100000000000001" customHeight="1" x14ac:dyDescent="0.3">
      <c r="A20" s="308"/>
      <c r="B20" s="513"/>
      <c r="C20" s="359"/>
      <c r="D20" s="360"/>
      <c r="E20" s="360"/>
      <c r="F20" s="360"/>
      <c r="G20" s="515"/>
      <c r="AJ20" s="349"/>
      <c r="AK20" s="350"/>
      <c r="AL20" s="348"/>
      <c r="AM20" s="347"/>
      <c r="AN20" s="351"/>
      <c r="AO20" s="345"/>
      <c r="AP20" s="346"/>
      <c r="AQ20" s="362"/>
      <c r="AR20" s="474"/>
    </row>
    <row r="21" spans="1:44" ht="20.100000000000001" customHeight="1" x14ac:dyDescent="0.3">
      <c r="A21" s="308"/>
      <c r="B21" s="513"/>
      <c r="C21" s="359"/>
      <c r="D21" s="360"/>
      <c r="E21" s="360"/>
      <c r="F21" s="360"/>
      <c r="G21" s="515"/>
      <c r="AJ21" s="349"/>
      <c r="AK21" s="350"/>
      <c r="AL21" s="348"/>
      <c r="AM21" s="347"/>
      <c r="AN21" s="351"/>
      <c r="AO21" s="345"/>
      <c r="AP21" s="346"/>
      <c r="AQ21" s="362"/>
      <c r="AR21" s="474"/>
    </row>
    <row r="22" spans="1:44" ht="20.100000000000001" customHeight="1" x14ac:dyDescent="0.3">
      <c r="A22" s="308"/>
      <c r="B22" s="513"/>
      <c r="C22" s="359"/>
      <c r="D22" s="360"/>
      <c r="E22" s="360"/>
      <c r="F22" s="360"/>
      <c r="G22" s="515"/>
      <c r="AJ22" s="349"/>
      <c r="AK22" s="350"/>
      <c r="AL22" s="348"/>
      <c r="AM22" s="347"/>
      <c r="AN22" s="351"/>
      <c r="AO22" s="345"/>
      <c r="AP22" s="346"/>
      <c r="AQ22" s="362"/>
      <c r="AR22" s="474"/>
    </row>
    <row r="23" spans="1:44" ht="20.100000000000001" customHeight="1" x14ac:dyDescent="0.3">
      <c r="A23" s="308"/>
      <c r="B23" s="513"/>
      <c r="C23" s="359"/>
      <c r="D23" s="360"/>
      <c r="E23" s="360"/>
      <c r="F23" s="360"/>
      <c r="G23" s="515"/>
      <c r="AJ23" s="349"/>
      <c r="AK23" s="350"/>
      <c r="AL23" s="348"/>
      <c r="AM23" s="347"/>
      <c r="AN23" s="351"/>
      <c r="AO23" s="345"/>
      <c r="AP23" s="346"/>
      <c r="AQ23" s="362"/>
      <c r="AR23" s="474"/>
    </row>
    <row r="24" spans="1:44" ht="20.100000000000001" customHeight="1" x14ac:dyDescent="0.3">
      <c r="A24" s="308"/>
      <c r="B24" s="513"/>
      <c r="C24" s="359"/>
      <c r="D24" s="360"/>
      <c r="E24" s="360"/>
      <c r="F24" s="360"/>
      <c r="G24" s="515"/>
      <c r="AJ24" s="349"/>
      <c r="AK24" s="350"/>
      <c r="AL24" s="348"/>
      <c r="AM24" s="347"/>
      <c r="AN24" s="351"/>
      <c r="AO24" s="345"/>
      <c r="AP24" s="346"/>
      <c r="AQ24" s="362"/>
      <c r="AR24" s="474"/>
    </row>
    <row r="25" spans="1:44" ht="20.100000000000001" customHeight="1" x14ac:dyDescent="0.3">
      <c r="A25" s="308"/>
      <c r="B25" s="513"/>
      <c r="C25" s="359"/>
      <c r="D25" s="360"/>
      <c r="E25" s="360"/>
      <c r="F25" s="360"/>
      <c r="G25" s="515"/>
      <c r="AJ25" s="349"/>
      <c r="AK25" s="350"/>
      <c r="AL25" s="348"/>
      <c r="AM25" s="347"/>
      <c r="AN25" s="351"/>
      <c r="AO25" s="345"/>
      <c r="AP25" s="346"/>
      <c r="AQ25" s="362"/>
      <c r="AR25" s="474"/>
    </row>
    <row r="26" spans="1:44" ht="20.100000000000001" customHeight="1" x14ac:dyDescent="0.3">
      <c r="A26" s="308"/>
      <c r="B26" s="513"/>
      <c r="C26" s="359"/>
      <c r="D26" s="360"/>
      <c r="E26" s="360"/>
      <c r="F26" s="360"/>
      <c r="G26" s="515"/>
      <c r="AJ26" s="349"/>
      <c r="AK26" s="350"/>
      <c r="AL26" s="348"/>
      <c r="AM26" s="347"/>
      <c r="AN26" s="351"/>
      <c r="AO26" s="345"/>
      <c r="AP26" s="346"/>
      <c r="AQ26" s="362"/>
      <c r="AR26" s="474"/>
    </row>
    <row r="27" spans="1:44" ht="20.100000000000001" customHeight="1" x14ac:dyDescent="0.3">
      <c r="A27" s="308"/>
      <c r="B27" s="513"/>
      <c r="C27" s="359"/>
      <c r="D27" s="360"/>
      <c r="E27" s="360"/>
      <c r="F27" s="360"/>
      <c r="G27" s="515"/>
      <c r="AJ27" s="349"/>
      <c r="AK27" s="350"/>
      <c r="AL27" s="348"/>
      <c r="AM27" s="347"/>
      <c r="AN27" s="351"/>
      <c r="AO27" s="345"/>
      <c r="AP27" s="346"/>
      <c r="AQ27" s="362"/>
      <c r="AR27" s="474"/>
    </row>
    <row r="28" spans="1:44" ht="20.100000000000001" customHeight="1" x14ac:dyDescent="0.3">
      <c r="A28" s="308"/>
      <c r="B28" s="513"/>
      <c r="C28" s="359"/>
      <c r="D28" s="360"/>
      <c r="E28" s="360"/>
      <c r="F28" s="360"/>
      <c r="G28" s="515"/>
      <c r="AJ28" s="349"/>
      <c r="AK28" s="350"/>
      <c r="AL28" s="348"/>
      <c r="AM28" s="347"/>
      <c r="AN28" s="351"/>
      <c r="AO28" s="345"/>
      <c r="AP28" s="346"/>
      <c r="AQ28" s="362"/>
      <c r="AR28" s="474"/>
    </row>
    <row r="29" spans="1:44" ht="20.100000000000001" customHeight="1" x14ac:dyDescent="0.3">
      <c r="A29" s="308"/>
      <c r="B29" s="513"/>
      <c r="C29" s="359"/>
      <c r="D29" s="360"/>
      <c r="E29" s="360"/>
      <c r="F29" s="360"/>
      <c r="G29" s="515"/>
      <c r="AJ29" s="349"/>
      <c r="AK29" s="350"/>
      <c r="AL29" s="348"/>
      <c r="AM29" s="347"/>
      <c r="AN29" s="351"/>
      <c r="AO29" s="345"/>
      <c r="AP29" s="346"/>
      <c r="AQ29" s="362"/>
      <c r="AR29" s="474"/>
    </row>
    <row r="30" spans="1:44" ht="20.100000000000001" customHeight="1" x14ac:dyDescent="0.3">
      <c r="A30" s="308"/>
      <c r="B30" s="513"/>
      <c r="C30" s="359"/>
      <c r="D30" s="360"/>
      <c r="E30" s="360"/>
      <c r="F30" s="360"/>
      <c r="G30" s="515"/>
      <c r="AJ30" s="349"/>
      <c r="AK30" s="350"/>
      <c r="AL30" s="348"/>
      <c r="AM30" s="347"/>
      <c r="AN30" s="351"/>
      <c r="AO30" s="345"/>
      <c r="AP30" s="346"/>
      <c r="AQ30" s="362"/>
      <c r="AR30" s="474"/>
    </row>
    <row r="31" spans="1:44" ht="20.100000000000001" customHeight="1" x14ac:dyDescent="0.3">
      <c r="A31" s="308"/>
      <c r="B31" s="513"/>
      <c r="C31" s="359"/>
      <c r="D31" s="360"/>
      <c r="E31" s="360"/>
      <c r="F31" s="360"/>
      <c r="G31" s="515"/>
      <c r="AJ31" s="349"/>
      <c r="AK31" s="350"/>
      <c r="AL31" s="348"/>
      <c r="AM31" s="347"/>
      <c r="AN31" s="351"/>
      <c r="AO31" s="345"/>
      <c r="AP31" s="346"/>
      <c r="AQ31" s="362"/>
      <c r="AR31" s="474"/>
    </row>
    <row r="32" spans="1:44" ht="20.100000000000001" customHeight="1" x14ac:dyDescent="0.3">
      <c r="A32" s="308"/>
      <c r="B32" s="513"/>
      <c r="C32" s="359"/>
      <c r="D32" s="360"/>
      <c r="E32" s="360"/>
      <c r="F32" s="360"/>
      <c r="G32" s="515"/>
      <c r="AJ32" s="349"/>
      <c r="AK32" s="350"/>
      <c r="AL32" s="348"/>
      <c r="AM32" s="347"/>
      <c r="AN32" s="351"/>
      <c r="AO32" s="345"/>
      <c r="AP32" s="346"/>
      <c r="AQ32" s="362"/>
      <c r="AR32" s="474"/>
    </row>
    <row r="33" spans="1:44" ht="20.100000000000001" customHeight="1" x14ac:dyDescent="0.3">
      <c r="A33" s="308"/>
      <c r="B33" s="513"/>
      <c r="C33" s="359"/>
      <c r="D33" s="360"/>
      <c r="E33" s="360"/>
      <c r="F33" s="360"/>
      <c r="G33" s="515"/>
      <c r="AJ33" s="349"/>
      <c r="AK33" s="350"/>
      <c r="AL33" s="348"/>
      <c r="AM33" s="347"/>
      <c r="AN33" s="351"/>
      <c r="AO33" s="345"/>
      <c r="AP33" s="346"/>
      <c r="AQ33" s="362"/>
      <c r="AR33" s="474"/>
    </row>
    <row r="34" spans="1:44" ht="20.100000000000001" customHeight="1" x14ac:dyDescent="0.3">
      <c r="A34" s="308"/>
      <c r="B34" s="513"/>
      <c r="C34" s="359"/>
      <c r="D34" s="360"/>
      <c r="E34" s="360"/>
      <c r="F34" s="360"/>
      <c r="G34" s="515"/>
      <c r="AJ34" s="349"/>
      <c r="AK34" s="350"/>
      <c r="AL34" s="348"/>
      <c r="AM34" s="347"/>
      <c r="AN34" s="351"/>
      <c r="AO34" s="345"/>
      <c r="AP34" s="346"/>
      <c r="AQ34" s="362"/>
      <c r="AR34" s="474"/>
    </row>
    <row r="35" spans="1:44" ht="20.100000000000001" customHeight="1" x14ac:dyDescent="0.3">
      <c r="A35" s="308"/>
      <c r="B35" s="513"/>
      <c r="C35" s="359"/>
      <c r="D35" s="360"/>
      <c r="E35" s="360"/>
      <c r="F35" s="360"/>
      <c r="G35" s="515"/>
      <c r="AJ35" s="349"/>
      <c r="AK35" s="350"/>
      <c r="AL35" s="348"/>
      <c r="AM35" s="347"/>
      <c r="AN35" s="351"/>
      <c r="AO35" s="345"/>
      <c r="AP35" s="346"/>
      <c r="AQ35" s="362"/>
      <c r="AR35" s="474"/>
    </row>
    <row r="36" spans="1:44" ht="20.100000000000001" customHeight="1" x14ac:dyDescent="0.3">
      <c r="A36" s="308"/>
      <c r="B36" s="513"/>
      <c r="C36" s="359"/>
      <c r="D36" s="360"/>
      <c r="E36" s="360"/>
      <c r="F36" s="360"/>
      <c r="G36" s="515"/>
      <c r="AJ36" s="349"/>
      <c r="AK36" s="350"/>
      <c r="AL36" s="348"/>
      <c r="AM36" s="347"/>
      <c r="AN36" s="351"/>
      <c r="AO36" s="345"/>
      <c r="AP36" s="346"/>
      <c r="AQ36" s="362"/>
      <c r="AR36" s="474"/>
    </row>
    <row r="37" spans="1:44" ht="20.100000000000001" customHeight="1" x14ac:dyDescent="0.3">
      <c r="A37" s="308"/>
      <c r="B37" s="513"/>
      <c r="C37" s="359"/>
      <c r="D37" s="360"/>
      <c r="E37" s="360"/>
      <c r="F37" s="360"/>
      <c r="G37" s="515"/>
      <c r="AJ37" s="349"/>
      <c r="AK37" s="350"/>
      <c r="AL37" s="348"/>
      <c r="AM37" s="347"/>
      <c r="AN37" s="351"/>
      <c r="AO37" s="345"/>
      <c r="AP37" s="346"/>
      <c r="AQ37" s="362"/>
      <c r="AR37" s="474"/>
    </row>
    <row r="38" spans="1:44" ht="20.100000000000001" customHeight="1" x14ac:dyDescent="0.3">
      <c r="A38" s="308"/>
      <c r="B38" s="513"/>
      <c r="C38" s="359"/>
      <c r="D38" s="360"/>
      <c r="E38" s="360"/>
      <c r="F38" s="360"/>
      <c r="G38" s="515"/>
      <c r="AJ38" s="349"/>
      <c r="AK38" s="350"/>
      <c r="AL38" s="348"/>
      <c r="AM38" s="347"/>
      <c r="AN38" s="351"/>
      <c r="AO38" s="345"/>
      <c r="AP38" s="346"/>
      <c r="AQ38" s="362"/>
      <c r="AR38" s="474"/>
    </row>
    <row r="39" spans="1:44" ht="20.100000000000001" customHeight="1" x14ac:dyDescent="0.3">
      <c r="A39" s="308"/>
      <c r="B39" s="513"/>
      <c r="C39" s="359"/>
      <c r="D39" s="360"/>
      <c r="E39" s="360"/>
      <c r="F39" s="360"/>
      <c r="G39" s="515"/>
      <c r="AJ39" s="349"/>
      <c r="AK39" s="350"/>
      <c r="AL39" s="348"/>
      <c r="AM39" s="347"/>
      <c r="AN39" s="351"/>
      <c r="AO39" s="345"/>
      <c r="AP39" s="346"/>
      <c r="AQ39" s="362"/>
      <c r="AR39" s="474"/>
    </row>
    <row r="40" spans="1:44" ht="20.100000000000001" customHeight="1" x14ac:dyDescent="0.3">
      <c r="A40" s="308"/>
      <c r="B40" s="513"/>
      <c r="C40" s="359"/>
      <c r="D40" s="360"/>
      <c r="E40" s="360"/>
      <c r="F40" s="360"/>
      <c r="G40" s="515"/>
      <c r="AJ40" s="349"/>
      <c r="AK40" s="350"/>
      <c r="AL40" s="348"/>
      <c r="AM40" s="347"/>
      <c r="AN40" s="351"/>
      <c r="AO40" s="345"/>
      <c r="AP40" s="346"/>
      <c r="AQ40" s="362"/>
      <c r="AR40" s="474"/>
    </row>
    <row r="41" spans="1:44" ht="20.100000000000001" customHeight="1" x14ac:dyDescent="0.3">
      <c r="A41" s="308"/>
      <c r="B41" s="513"/>
      <c r="C41" s="359"/>
      <c r="D41" s="360"/>
      <c r="E41" s="360"/>
      <c r="F41" s="360"/>
      <c r="G41" s="515"/>
      <c r="AJ41" s="349"/>
      <c r="AK41" s="350"/>
      <c r="AL41" s="348"/>
      <c r="AM41" s="347"/>
      <c r="AN41" s="351"/>
      <c r="AO41" s="345"/>
      <c r="AP41" s="346"/>
      <c r="AQ41" s="362"/>
      <c r="AR41" s="474"/>
    </row>
    <row r="42" spans="1:44" ht="20.100000000000001" customHeight="1" x14ac:dyDescent="0.3">
      <c r="A42" s="308"/>
      <c r="B42" s="513"/>
      <c r="C42" s="359"/>
      <c r="D42" s="360"/>
      <c r="E42" s="360"/>
      <c r="F42" s="360"/>
      <c r="G42" s="515"/>
      <c r="AJ42" s="354"/>
      <c r="AK42" s="355"/>
      <c r="AL42" s="353"/>
      <c r="AM42" s="352"/>
      <c r="AN42" s="356"/>
      <c r="AO42" s="345"/>
      <c r="AP42" s="346"/>
      <c r="AQ42" s="363"/>
      <c r="AR42" s="474"/>
    </row>
    <row r="43" spans="1:44" ht="30" customHeight="1" x14ac:dyDescent="0.3">
      <c r="A43" s="3"/>
      <c r="B43" s="4"/>
      <c r="C43" s="2"/>
      <c r="D43" s="2"/>
      <c r="E43" s="2"/>
      <c r="F43" s="2"/>
      <c r="AH43" s="2"/>
      <c r="AJ43" s="2"/>
      <c r="AK43" s="2"/>
      <c r="AL43" s="5"/>
      <c r="AM43" s="5"/>
      <c r="AN43" s="5"/>
      <c r="AO43" s="2"/>
      <c r="AP43" s="2"/>
      <c r="AQ43" s="2"/>
      <c r="AR43" s="2"/>
    </row>
    <row r="44" spans="1:44" ht="20.100000000000001" customHeight="1" x14ac:dyDescent="0.3">
      <c r="A44" s="3"/>
      <c r="B44" s="4"/>
      <c r="C44" s="118" t="s">
        <v>311</v>
      </c>
      <c r="D44" s="2"/>
      <c r="E44" s="2"/>
      <c r="F44" s="2"/>
      <c r="AH44" s="2"/>
      <c r="AJ44" s="2"/>
      <c r="AK44" s="2"/>
      <c r="AL44" s="5"/>
      <c r="AM44" s="5"/>
      <c r="AN44" s="5"/>
      <c r="AO44" s="2"/>
      <c r="AP44" s="2"/>
      <c r="AQ44" s="2"/>
      <c r="AR44" s="2"/>
    </row>
    <row r="45" spans="1:44" ht="18" customHeight="1" x14ac:dyDescent="0.3">
      <c r="A45" s="3"/>
      <c r="B45" s="4"/>
      <c r="C45" s="120" t="s">
        <v>304</v>
      </c>
      <c r="D45" s="2"/>
      <c r="E45" s="2"/>
      <c r="F45" s="2"/>
      <c r="AH45" s="2"/>
      <c r="AJ45" s="2"/>
      <c r="AK45" s="2"/>
      <c r="AL45" s="5"/>
      <c r="AM45" s="563" t="s">
        <v>312</v>
      </c>
      <c r="AN45" s="563"/>
      <c r="AO45" s="563"/>
      <c r="AP45" s="563"/>
      <c r="AQ45" s="563"/>
      <c r="AR45" s="2"/>
    </row>
    <row r="46" spans="1:44" ht="18" customHeight="1" x14ac:dyDescent="0.3">
      <c r="A46" s="3"/>
      <c r="B46" s="4"/>
      <c r="C46" s="120" t="s">
        <v>305</v>
      </c>
      <c r="D46" s="2"/>
      <c r="E46" s="2"/>
      <c r="F46" s="2"/>
      <c r="AH46" s="2"/>
      <c r="AJ46" s="2"/>
      <c r="AK46" s="2"/>
      <c r="AL46" s="5"/>
      <c r="AM46" s="563"/>
      <c r="AN46" s="563"/>
      <c r="AO46" s="563"/>
      <c r="AP46" s="563"/>
      <c r="AQ46" s="563"/>
      <c r="AR46" s="2"/>
    </row>
    <row r="47" spans="1:44" ht="18" customHeight="1" x14ac:dyDescent="0.3">
      <c r="A47" s="3"/>
      <c r="B47" s="4"/>
      <c r="C47" s="120" t="s">
        <v>306</v>
      </c>
      <c r="D47" s="2"/>
      <c r="E47" s="2"/>
      <c r="F47" s="2"/>
      <c r="AH47" s="2"/>
      <c r="AJ47" s="2"/>
      <c r="AK47" s="2"/>
      <c r="AL47" s="5"/>
      <c r="AM47" s="119"/>
      <c r="AN47" s="5"/>
      <c r="AO47" s="2"/>
      <c r="AP47" s="2"/>
      <c r="AQ47" s="2"/>
      <c r="AR47" s="2"/>
    </row>
    <row r="48" spans="1:44" ht="18" customHeight="1" x14ac:dyDescent="0.3">
      <c r="A48" s="3"/>
      <c r="B48" s="4"/>
      <c r="C48" s="120" t="s">
        <v>307</v>
      </c>
      <c r="D48" s="2"/>
      <c r="E48" s="2"/>
      <c r="F48" s="2"/>
      <c r="AH48" s="2"/>
      <c r="AJ48" s="2"/>
      <c r="AK48" s="2"/>
      <c r="AL48" s="5"/>
      <c r="AM48" s="563" t="s">
        <v>313</v>
      </c>
      <c r="AN48" s="563"/>
      <c r="AO48" s="563"/>
      <c r="AP48" s="563"/>
      <c r="AQ48" s="563"/>
      <c r="AR48" s="2"/>
    </row>
    <row r="49" spans="1:44" ht="18" customHeight="1" x14ac:dyDescent="0.3">
      <c r="A49" s="3"/>
      <c r="B49" s="4"/>
      <c r="C49" s="120" t="s">
        <v>308</v>
      </c>
      <c r="D49" s="2"/>
      <c r="E49" s="2"/>
      <c r="F49" s="2"/>
      <c r="AH49" s="2"/>
      <c r="AJ49" s="2"/>
      <c r="AK49" s="2"/>
      <c r="AL49" s="5"/>
      <c r="AM49" s="563"/>
      <c r="AN49" s="563"/>
      <c r="AO49" s="563"/>
      <c r="AP49" s="563"/>
      <c r="AQ49" s="563"/>
      <c r="AR49" s="2"/>
    </row>
    <row r="50" spans="1:44" ht="18" customHeight="1" x14ac:dyDescent="0.3">
      <c r="A50" s="3"/>
      <c r="B50" s="4"/>
      <c r="C50" s="120" t="s">
        <v>309</v>
      </c>
      <c r="D50" s="2"/>
      <c r="E50" s="2"/>
      <c r="F50" s="2"/>
      <c r="AH50" s="2"/>
      <c r="AJ50" s="2"/>
      <c r="AK50" s="2"/>
      <c r="AL50" s="5"/>
      <c r="AM50" s="5"/>
      <c r="AN50" s="5"/>
      <c r="AO50" s="2"/>
      <c r="AP50" s="2"/>
      <c r="AQ50" s="2"/>
      <c r="AR50" s="2"/>
    </row>
    <row r="51" spans="1:44" ht="18" customHeight="1" x14ac:dyDescent="0.3">
      <c r="A51" s="3"/>
      <c r="B51" s="4"/>
      <c r="C51" s="120" t="s">
        <v>310</v>
      </c>
      <c r="D51" s="2"/>
      <c r="E51" s="2"/>
      <c r="F51" s="2"/>
      <c r="AH51" s="2"/>
      <c r="AJ51" s="2"/>
      <c r="AK51" s="2"/>
      <c r="AL51" s="5"/>
      <c r="AM51" s="5"/>
      <c r="AN51" s="5"/>
      <c r="AO51" s="2"/>
      <c r="AP51" s="2"/>
      <c r="AQ51" s="2"/>
      <c r="AR51" s="2"/>
    </row>
    <row r="52" spans="1:44" ht="9.9499999999999993" customHeight="1" x14ac:dyDescent="0.3">
      <c r="A52" s="3"/>
      <c r="B52" s="4"/>
      <c r="C52" s="2"/>
      <c r="D52" s="2"/>
      <c r="E52" s="2"/>
      <c r="F52" s="2"/>
      <c r="AH52" s="2"/>
      <c r="AJ52" s="2"/>
      <c r="AK52" s="2"/>
      <c r="AL52" s="5"/>
      <c r="AM52" s="5"/>
      <c r="AN52" s="5"/>
      <c r="AO52" s="2"/>
      <c r="AP52" s="2"/>
      <c r="AQ52" s="2"/>
      <c r="AR52" s="2"/>
    </row>
  </sheetData>
  <sheetProtection password="DF8E" sheet="1" objects="1" scenarios="1"/>
  <protectedRanges>
    <protectedRange sqref="A1" name="Range1_1"/>
    <protectedRange sqref="D8:E9 D2 D3:E4 D6 AV10:AV12 AQ13:AQ42 B13:G42" name="Range1"/>
  </protectedRanges>
  <mergeCells count="22">
    <mergeCell ref="AJ2:AM2"/>
    <mergeCell ref="AJ9:AN9"/>
    <mergeCell ref="D7:E7"/>
    <mergeCell ref="D9:E9"/>
    <mergeCell ref="D8:E8"/>
    <mergeCell ref="D5:E5"/>
    <mergeCell ref="D6:E6"/>
    <mergeCell ref="D2:E2"/>
    <mergeCell ref="D3:E3"/>
    <mergeCell ref="D4:E4"/>
    <mergeCell ref="F11:F12"/>
    <mergeCell ref="B11:B12"/>
    <mergeCell ref="C11:C12"/>
    <mergeCell ref="D11:D12"/>
    <mergeCell ref="E11:E12"/>
    <mergeCell ref="AM45:AQ46"/>
    <mergeCell ref="AM48:AQ49"/>
    <mergeCell ref="AQ9:AR10"/>
    <mergeCell ref="G11:G12"/>
    <mergeCell ref="AL11:AN11"/>
    <mergeCell ref="AO11:AP11"/>
    <mergeCell ref="AJ11:AJ12"/>
  </mergeCells>
  <conditionalFormatting sqref="AN13:AN42">
    <cfRule type="dataBar" priority="148">
      <dataBar>
        <cfvo type="min"/>
        <cfvo type="max"/>
        <color rgb="FF00B050"/>
      </dataBar>
      <extLst>
        <ext xmlns:x14="http://schemas.microsoft.com/office/spreadsheetml/2009/9/main" uri="{B025F937-C7B1-47D3-B67F-A62EFF666E3E}">
          <x14:id>{3101A3B3-D1CD-4E29-BA12-E36F7E62FA70}</x14:id>
        </ext>
      </extLst>
    </cfRule>
  </conditionalFormatting>
  <conditionalFormatting sqref="G4:G8 AK4:AK8">
    <cfRule type="cellIs" dxfId="191" priority="145" operator="equal">
      <formula>0</formula>
    </cfRule>
  </conditionalFormatting>
  <conditionalFormatting sqref="AJ13:AJ42">
    <cfRule type="cellIs" dxfId="190" priority="144" operator="lessThan">
      <formula>0</formula>
    </cfRule>
  </conditionalFormatting>
  <conditionalFormatting sqref="AN4:AN8">
    <cfRule type="expression" dxfId="189" priority="117">
      <formula>OR(AN4="",AN4&lt;=0)</formula>
    </cfRule>
    <cfRule type="expression" dxfId="188" priority="131">
      <formula>OR(AN4&lt;=AL4,AN4&gt;=AM4,AN4&gt;=AK4)</formula>
    </cfRule>
    <cfRule type="cellIs" dxfId="187" priority="143" operator="equal">
      <formula>0</formula>
    </cfRule>
  </conditionalFormatting>
  <conditionalFormatting sqref="AK4:AK8">
    <cfRule type="expression" dxfId="186" priority="120">
      <formula>OR(AN4="",AN4&lt;=0)</formula>
    </cfRule>
    <cfRule type="expression" dxfId="185" priority="134">
      <formula>OR(AN4&lt;=AL4,AN4&gt;=AM4,AN4&gt;=AK4)</formula>
    </cfRule>
    <cfRule type="expression" dxfId="184" priority="141">
      <formula>AND(AN4&gt;=AK4,AN4&lt;AM4)</formula>
    </cfRule>
  </conditionalFormatting>
  <conditionalFormatting sqref="AL4:AL8">
    <cfRule type="expression" dxfId="183" priority="119">
      <formula>OR(AN4="",AN4&lt;=0)</formula>
    </cfRule>
    <cfRule type="expression" dxfId="182" priority="133">
      <formula>OR(AN4&lt;=AL4,AN4&gt;=AM4,AN4&gt;=AK4)</formula>
    </cfRule>
    <cfRule type="expression" dxfId="181" priority="140">
      <formula>AN4&lt;=AL4</formula>
    </cfRule>
  </conditionalFormatting>
  <conditionalFormatting sqref="AM4:AM8">
    <cfRule type="expression" dxfId="180" priority="118">
      <formula>OR(AN4="",AN4&lt;=0)</formula>
    </cfRule>
    <cfRule type="expression" dxfId="179" priority="132">
      <formula>OR(AN4&lt;=AL4,AN4&gt;=AM4,AN4&gt;=AK4)</formula>
    </cfRule>
    <cfRule type="expression" dxfId="178" priority="139">
      <formula>AN4&gt;=AM4</formula>
    </cfRule>
  </conditionalFormatting>
  <conditionalFormatting sqref="G4:G8">
    <cfRule type="expression" dxfId="177" priority="122">
      <formula>OR(AN4="",AN4&lt;=0)</formula>
    </cfRule>
    <cfRule type="expression" dxfId="176" priority="136">
      <formula>AND(AN4&gt;=AK4,AN4&lt;AM4)</formula>
    </cfRule>
    <cfRule type="expression" dxfId="175" priority="137">
      <formula>AND(AN4&gt;=AM4,AN4&gt;0)</formula>
    </cfRule>
    <cfRule type="expression" dxfId="174" priority="138">
      <formula>AN4&lt;=AL4</formula>
    </cfRule>
  </conditionalFormatting>
  <conditionalFormatting sqref="AJ4:AJ8">
    <cfRule type="expression" dxfId="173" priority="121">
      <formula>OR(AN4="",AN4&lt;=0)</formula>
    </cfRule>
    <cfRule type="expression" dxfId="172" priority="135">
      <formula>OR(AN4&lt;=AL4,AN4&gt;=AM4,AN4&gt;=AK4)</formula>
    </cfRule>
  </conditionalFormatting>
  <conditionalFormatting sqref="AO4:AO8">
    <cfRule type="expression" dxfId="171" priority="116">
      <formula>OR(AN4="",AN4&lt;=0)</formula>
    </cfRule>
    <cfRule type="expression" dxfId="170" priority="129">
      <formula>OR(AN4&lt;=AL4,AN4&gt;=AM4,AN4&gt;=AK4)</formula>
    </cfRule>
  </conditionalFormatting>
  <conditionalFormatting sqref="AP4:AP8">
    <cfRule type="expression" dxfId="169" priority="114">
      <formula>OR(AN4="",AN4&lt;=0)</formula>
    </cfRule>
    <cfRule type="expression" dxfId="168" priority="127">
      <formula>OR(AN4&lt;=AL4,AN4&gt;=AM4,AN4&gt;=AK4)</formula>
    </cfRule>
  </conditionalFormatting>
  <conditionalFormatting sqref="AJ9">
    <cfRule type="expression" dxfId="167" priority="108">
      <formula>$F$9&gt;0.025</formula>
    </cfRule>
  </conditionalFormatting>
  <conditionalFormatting sqref="E13:F16">
    <cfRule type="expression" dxfId="166" priority="9">
      <formula>E13=""</formula>
    </cfRule>
  </conditionalFormatting>
  <conditionalFormatting sqref="D13:D16">
    <cfRule type="expression" dxfId="165" priority="414">
      <formula>AND(G13&gt;=D13,G13&lt;F13)</formula>
    </cfRule>
  </conditionalFormatting>
  <conditionalFormatting sqref="E13:E16">
    <cfRule type="expression" dxfId="164" priority="428">
      <formula>G13&lt;=E13</formula>
    </cfRule>
  </conditionalFormatting>
  <conditionalFormatting sqref="F13:F16">
    <cfRule type="expression" dxfId="163" priority="429">
      <formula>G13&gt;=F13</formula>
    </cfRule>
  </conditionalFormatting>
  <conditionalFormatting sqref="E17:F42">
    <cfRule type="expression" dxfId="162" priority="1">
      <formula>E17=""</formula>
    </cfRule>
  </conditionalFormatting>
  <conditionalFormatting sqref="D17:D42">
    <cfRule type="expression" dxfId="161" priority="2">
      <formula>AND(G17&gt;=D17,G17&lt;F17)</formula>
    </cfRule>
  </conditionalFormatting>
  <conditionalFormatting sqref="E17:E42">
    <cfRule type="expression" dxfId="160" priority="3">
      <formula>G17&lt;=E17</formula>
    </cfRule>
  </conditionalFormatting>
  <conditionalFormatting sqref="F17:F42">
    <cfRule type="expression" dxfId="159" priority="4">
      <formula>G17&gt;=F17</formula>
    </cfRule>
  </conditionalFormatting>
  <dataValidations xWindow="908" yWindow="434" count="4">
    <dataValidation type="decimal" operator="lessThan" allowBlank="1" showInputMessage="1" showErrorMessage="1" prompt="Enter negative value" sqref="G12:J12" xr:uid="{00000000-0002-0000-0100-000000000000}">
      <formula1>0</formula1>
    </dataValidation>
    <dataValidation type="list" allowBlank="1" showInputMessage="1" showErrorMessage="1" sqref="D9" xr:uid="{00000000-0002-0000-0100-000001000000}">
      <formula1>$AY$3:$AY$4</formula1>
    </dataValidation>
    <dataValidation allowBlank="1" showInputMessage="1" showErrorMessage="1" prompt="Risk Reward Ratio" sqref="AM12 AI11:AI12" xr:uid="{00000000-0002-0000-0100-000002000000}"/>
    <dataValidation type="list" allowBlank="1" showInputMessage="1" showErrorMessage="1" sqref="D8" xr:uid="{00000000-0002-0000-0100-000003000000}">
      <formula1>$AY$5:$AY$6</formula1>
    </dataValidation>
  </dataValidations>
  <pageMargins left="0.7" right="0.7" top="0.75" bottom="0.75" header="0.3" footer="0.3"/>
  <pageSetup orientation="portrait" verticalDpi="1200" r:id="rId1"/>
  <drawing r:id="rId2"/>
  <extLst>
    <ext xmlns:x14="http://schemas.microsoft.com/office/spreadsheetml/2009/9/main" uri="{78C0D931-6437-407d-A8EE-F0AAD7539E65}">
      <x14:conditionalFormattings>
        <x14:conditionalFormatting xmlns:xm="http://schemas.microsoft.com/office/excel/2006/main">
          <x14:cfRule type="dataBar" id="{3101A3B3-D1CD-4E29-BA12-E36F7E62FA70}">
            <x14:dataBar minLength="0" maxLength="100" gradient="0">
              <x14:cfvo type="autoMin"/>
              <x14:cfvo type="autoMax"/>
              <x14:negativeFillColor rgb="FFFF0000"/>
              <x14:axisColor rgb="FF000000"/>
            </x14:dataBar>
          </x14:cfRule>
          <xm:sqref>AN13:AN42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DE2D26"/>
  </sheetPr>
  <dimension ref="A1:BY74"/>
  <sheetViews>
    <sheetView showGridLines="0" showRowColHeaders="0" zoomScaleNormal="100" workbookViewId="0">
      <pane ySplit="12" topLeftCell="A13" activePane="bottomLeft" state="frozen"/>
      <selection activeCell="C81" sqref="C81:G86"/>
      <selection pane="bottomLeft"/>
    </sheetView>
  </sheetViews>
  <sheetFormatPr defaultColWidth="0" defaultRowHeight="15" x14ac:dyDescent="0.25"/>
  <cols>
    <col min="1" max="1" width="1.42578125" customWidth="1"/>
    <col min="2" max="2" width="10.7109375" customWidth="1"/>
    <col min="3" max="3" width="8.140625" customWidth="1"/>
    <col min="4" max="4" width="12" customWidth="1"/>
    <col min="5" max="6" width="9.85546875" customWidth="1"/>
    <col min="7" max="7" width="9.5703125" customWidth="1"/>
    <col min="8" max="9" width="13.7109375" customWidth="1"/>
    <col min="10" max="14" width="5.85546875" hidden="1" customWidth="1"/>
    <col min="15" max="15" width="21.5703125" hidden="1" customWidth="1"/>
    <col min="16" max="16" width="19.5703125" hidden="1" customWidth="1"/>
    <col min="17" max="18" width="9.5703125" hidden="1" customWidth="1"/>
    <col min="19" max="19" width="11.42578125" hidden="1" customWidth="1"/>
    <col min="20" max="21" width="10.42578125" hidden="1" customWidth="1"/>
    <col min="22" max="22" width="8.28515625" hidden="1" customWidth="1"/>
    <col min="23" max="23" width="12" hidden="1" customWidth="1"/>
    <col min="24" max="24" width="8.85546875" hidden="1" customWidth="1"/>
    <col min="25" max="25" width="11.42578125" hidden="1" customWidth="1"/>
    <col min="26" max="26" width="9.42578125" hidden="1" customWidth="1"/>
    <col min="27" max="28" width="8.28515625" hidden="1" customWidth="1"/>
    <col min="29" max="29" width="9.42578125" hidden="1" customWidth="1"/>
    <col min="30" max="30" width="12" hidden="1" customWidth="1"/>
    <col min="31" max="31" width="8.140625" hidden="1" customWidth="1"/>
    <col min="32" max="32" width="9.5703125" hidden="1" customWidth="1"/>
    <col min="33" max="36" width="8.140625" hidden="1" customWidth="1"/>
    <col min="37" max="37" width="9.5703125" hidden="1" customWidth="1"/>
    <col min="38" max="38" width="16.28515625" hidden="1" customWidth="1"/>
    <col min="39" max="39" width="14.85546875" customWidth="1"/>
    <col min="40" max="42" width="9.85546875" customWidth="1"/>
    <col min="43" max="43" width="15.140625" hidden="1" customWidth="1"/>
    <col min="44" max="44" width="19.85546875" style="498" customWidth="1"/>
    <col min="45" max="45" width="15.140625" hidden="1" customWidth="1"/>
    <col min="46" max="46" width="19.85546875" style="498" customWidth="1"/>
    <col min="47" max="47" width="17.85546875" customWidth="1"/>
    <col min="48" max="49" width="7.7109375" hidden="1" customWidth="1"/>
    <col min="50" max="50" width="16.28515625" hidden="1" customWidth="1"/>
    <col min="51" max="51" width="16.7109375" hidden="1" customWidth="1"/>
    <col min="52" max="52" width="5.85546875" customWidth="1"/>
    <col min="53" max="53" width="9.85546875" hidden="1" customWidth="1"/>
    <col min="54" max="54" width="7.42578125" hidden="1" customWidth="1"/>
    <col min="55" max="55" width="16.42578125" hidden="1" customWidth="1"/>
    <col min="56" max="56" width="10.5703125" hidden="1" customWidth="1"/>
    <col min="57" max="57" width="10.85546875" hidden="1" customWidth="1"/>
    <col min="58" max="58" width="10" hidden="1" customWidth="1"/>
    <col min="59" max="59" width="13.7109375" hidden="1" customWidth="1"/>
    <col min="60" max="64" width="9" hidden="1" customWidth="1"/>
    <col min="65" max="65" width="13.7109375" hidden="1" customWidth="1"/>
    <col min="66" max="70" width="9" hidden="1" customWidth="1"/>
    <col min="71" max="71" width="13.7109375" hidden="1" customWidth="1"/>
    <col min="72" max="76" width="9" hidden="1" customWidth="1"/>
    <col min="77" max="77" width="13.7109375" hidden="1" customWidth="1"/>
    <col min="78" max="16384" width="9" hidden="1"/>
  </cols>
  <sheetData>
    <row r="1" spans="1:57" ht="15.75" customHeight="1" x14ac:dyDescent="0.25">
      <c r="A1" s="274">
        <v>1</v>
      </c>
      <c r="B1" s="285"/>
      <c r="C1" s="274"/>
      <c r="D1" s="274"/>
      <c r="E1" s="274"/>
      <c r="F1" s="274"/>
      <c r="G1" s="274"/>
      <c r="H1" s="274"/>
      <c r="I1" s="274"/>
      <c r="AM1" s="274"/>
      <c r="AN1" s="274"/>
      <c r="AO1" s="274"/>
      <c r="AP1" s="274"/>
      <c r="AR1" s="497"/>
      <c r="AS1" s="274"/>
      <c r="AT1" s="497"/>
      <c r="AU1" s="274"/>
      <c r="AZ1" s="274"/>
      <c r="BA1">
        <v>5</v>
      </c>
    </row>
    <row r="2" spans="1:57" ht="19.5" customHeight="1" x14ac:dyDescent="0.25">
      <c r="A2" s="38"/>
      <c r="B2" s="39"/>
      <c r="C2" s="209" t="s">
        <v>183</v>
      </c>
      <c r="D2" s="578" t="str">
        <f>'1-Tranche'!D2</f>
        <v>Trial Version</v>
      </c>
      <c r="E2" s="578"/>
      <c r="F2" s="38"/>
      <c r="G2" s="30"/>
      <c r="H2" s="495"/>
      <c r="I2" s="472"/>
      <c r="AM2" s="472" t="s">
        <v>210</v>
      </c>
      <c r="AN2" s="472"/>
      <c r="AO2" s="472"/>
      <c r="AP2" s="472"/>
      <c r="AR2" s="511" t="s">
        <v>195</v>
      </c>
      <c r="AT2" s="510" t="s">
        <v>209</v>
      </c>
      <c r="AU2" s="47" t="s">
        <v>282</v>
      </c>
      <c r="AZ2" s="38"/>
      <c r="BA2">
        <v>10</v>
      </c>
      <c r="BB2" t="s">
        <v>146</v>
      </c>
    </row>
    <row r="3" spans="1:57" ht="17.25" customHeight="1" x14ac:dyDescent="0.25">
      <c r="A3" s="40"/>
      <c r="B3" s="41"/>
      <c r="C3" s="209" t="s">
        <v>185</v>
      </c>
      <c r="D3" s="606">
        <v>100000</v>
      </c>
      <c r="E3" s="606"/>
      <c r="F3" s="495"/>
      <c r="G3" s="484" t="s">
        <v>234</v>
      </c>
      <c r="H3" s="485" t="s">
        <v>218</v>
      </c>
      <c r="I3" s="488" t="s">
        <v>204</v>
      </c>
      <c r="AM3" s="486" t="s">
        <v>233</v>
      </c>
      <c r="AN3" s="487" t="s">
        <v>215</v>
      </c>
      <c r="AO3" s="487" t="s">
        <v>216</v>
      </c>
      <c r="AP3" s="486" t="s">
        <v>289</v>
      </c>
      <c r="AQ3" t="s">
        <v>285</v>
      </c>
      <c r="AR3" s="486" t="s">
        <v>285</v>
      </c>
      <c r="AS3" t="s">
        <v>286</v>
      </c>
      <c r="AT3" s="486" t="s">
        <v>286</v>
      </c>
      <c r="AU3" s="48" t="s">
        <v>226</v>
      </c>
      <c r="AV3" t="s">
        <v>283</v>
      </c>
      <c r="AW3" t="s">
        <v>284</v>
      </c>
      <c r="AZ3" s="46"/>
      <c r="BA3">
        <v>100</v>
      </c>
      <c r="BB3" t="s">
        <v>148</v>
      </c>
    </row>
    <row r="4" spans="1:57" ht="17.25" customHeight="1" x14ac:dyDescent="0.25">
      <c r="A4" s="38"/>
      <c r="B4" s="39"/>
      <c r="C4" s="209" t="s">
        <v>303</v>
      </c>
      <c r="D4" s="607">
        <v>0.4</v>
      </c>
      <c r="E4" s="607"/>
      <c r="F4" s="495"/>
      <c r="G4" s="36">
        <f>IFERROR(LARGE($AP$73:AP92,1),"")</f>
        <v>3.0486829118153564</v>
      </c>
      <c r="H4" s="23" t="str">
        <f>IF(G4="","",INDEX($C$73:C92,MATCH(G4,$AP$73:AP92,0)))</f>
        <v>IRC</v>
      </c>
      <c r="I4" s="482">
        <f>IF(G4="","",INDEX($I$73:I92,MATCH(G4,$AP$73:AP92,0)))</f>
        <v>7000</v>
      </c>
      <c r="AM4" s="483">
        <f>IF(G4="","",INDEX($D$73:D92,MATCH(G4,$AP$73:AP92,0)))</f>
        <v>2.3590209047619051</v>
      </c>
      <c r="AN4" s="480">
        <f>IF(G4="","",INDEX($E$73:E92,MATCH(G4,$AP$73:AP92,0)))</f>
        <v>2.25</v>
      </c>
      <c r="AO4" s="480">
        <f>IF(G4="","",INDEX($F$73:F92,MATCH(G4,$AP$73:AP92,0)))</f>
        <v>2.8</v>
      </c>
      <c r="AP4" s="481">
        <f>IF(G4="","",INDEX($G$73:G92,MATCH(G4,$AP$73:AP92,0)))</f>
        <v>2.66</v>
      </c>
      <c r="AQ4">
        <f>IF(G4="","",INDEX($AQ$73:AQ92,MATCH(G4,$AP$73:AP92,0)))</f>
        <v>-939.3246666666696</v>
      </c>
      <c r="AR4" s="496" t="str">
        <f>IF(AQ4="","",TEXT(AQ4,"0,00.00")&amp;" ("&amp;TEXT(AV4,"0.00%")&amp;")")</f>
        <v>-939.32 (-5.69%)</v>
      </c>
      <c r="AS4">
        <f>IF(G4="","",INDEX($AS$73:AS92,MATCH(G4,$AP$73:AP92,0)))</f>
        <v>2863.6936666666647</v>
      </c>
      <c r="AT4" s="509" t="str">
        <f>IF(AS4="","",TEXT(AS4,"0,00.00")&amp;" ("&amp;TEXT(AW4,"0.00%")&amp;")")</f>
        <v>2,863.69 (17.34%)</v>
      </c>
      <c r="AU4" s="79">
        <v>0.3</v>
      </c>
      <c r="AV4">
        <f>IF(G4="","",INDEX($AV$73:AV92,MATCH(G4,$AP$73:AP92,0)))</f>
        <v>-5.6883445934864316E-2</v>
      </c>
      <c r="AW4">
        <f>IF(G4="","",INDEX($AW$73:AW92,MATCH(G4,$AP$73:AP92,0)))</f>
        <v>0.1734190207523342</v>
      </c>
      <c r="AZ4" s="49"/>
      <c r="BA4">
        <v>1000</v>
      </c>
      <c r="BB4" t="s">
        <v>288</v>
      </c>
      <c r="BD4">
        <f>$D$5*AU4</f>
        <v>12000</v>
      </c>
      <c r="BE4">
        <f>$D$7*AU4</f>
        <v>300</v>
      </c>
    </row>
    <row r="5" spans="1:57" ht="17.25" customHeight="1" x14ac:dyDescent="0.25">
      <c r="A5" s="38"/>
      <c r="B5" s="39"/>
      <c r="C5" s="209" t="s">
        <v>188</v>
      </c>
      <c r="D5" s="576">
        <f>D3*D4</f>
        <v>40000</v>
      </c>
      <c r="E5" s="576"/>
      <c r="F5" s="495"/>
      <c r="G5" s="36">
        <f>IFERROR(LARGE($AP$73:AP93,2),"")</f>
        <v>2.2134634978130983</v>
      </c>
      <c r="H5" s="23" t="str">
        <f>IF(G5="","",INDEX($C$73:C93,MATCH(G5,$AP$73:AP93,0)))</f>
        <v>PXP</v>
      </c>
      <c r="I5" s="482">
        <f>IF(G5="","",INDEX($I$73:I93,MATCH(G5,$AP$73:AP93,0)))</f>
        <v>1100</v>
      </c>
      <c r="AM5" s="483">
        <f>IF(G5="","",INDEX($D$73:D93,MATCH(G5,$AP$73:AP93,0)))</f>
        <v>17.163564090909095</v>
      </c>
      <c r="AN5" s="480">
        <f>IF(G5="","",INDEX($E$73:E93,MATCH(G5,$AP$73:AP93,0)))</f>
        <v>16.420000000000002</v>
      </c>
      <c r="AO5" s="480">
        <f>IF(G5="","",INDEX($F$73:F93,MATCH(G5,$AP$73:AP93,0)))</f>
        <v>19.399999999999999</v>
      </c>
      <c r="AP5" s="481">
        <f>IF(G5="","",INDEX($G$73:G93,MATCH(G5,$AP$73:AP93,0)))</f>
        <v>16.3</v>
      </c>
      <c r="AQ5">
        <f>IF(G5="","",INDEX($AQ$73:AQ93,MATCH(G5,$AP$73:AP93,0)))</f>
        <v>-1008.7582999999995</v>
      </c>
      <c r="AR5" s="508" t="str">
        <f t="shared" ref="AR5:AR8" si="0">IF(AQ5="","",TEXT(AQ5,"0,00.00")&amp;" ("&amp;TEXT(AV5,"0.00%")&amp;")")</f>
        <v>-1,008.76 (-5.34%)</v>
      </c>
      <c r="AS5">
        <f>IF(G5="","",INDEX($AS$73:AS93,MATCH(G5,$AP$73:AP93,0)))</f>
        <v>2232.8294999999935</v>
      </c>
      <c r="AT5" s="509" t="str">
        <f t="shared" ref="AT5:AT8" si="1">IF(AS5="","",TEXT(AS5,"0,00.00")&amp;" ("&amp;TEXT(AW5,"0.00%")&amp;")")</f>
        <v>2,232.83 (11.83%)</v>
      </c>
      <c r="AU5" s="48" t="s">
        <v>227</v>
      </c>
      <c r="AV5">
        <f>IF(G5="","",INDEX($AV$73:AV93,MATCH(G5,$AP$73:AP93,0)))</f>
        <v>-5.3430219687630537E-2</v>
      </c>
      <c r="AW5">
        <f>IF(G5="","",INDEX($AW$73:AW93,MATCH(G5,$AP$73:AP93,0)))</f>
        <v>0.11826477235431118</v>
      </c>
      <c r="AZ5" s="49"/>
      <c r="BA5">
        <v>10000</v>
      </c>
      <c r="BB5" t="s">
        <v>150</v>
      </c>
      <c r="BD5">
        <f>$D$5*AU6</f>
        <v>16000</v>
      </c>
      <c r="BE5">
        <f>$D$7*AU6</f>
        <v>400</v>
      </c>
    </row>
    <row r="6" spans="1:57" ht="17.25" customHeight="1" x14ac:dyDescent="0.25">
      <c r="A6" s="38"/>
      <c r="B6" s="42"/>
      <c r="C6" s="209" t="s">
        <v>211</v>
      </c>
      <c r="D6" s="615">
        <v>2.5000000000000001E-2</v>
      </c>
      <c r="E6" s="615"/>
      <c r="F6" s="495"/>
      <c r="G6" s="36" t="str">
        <f>IFERROR(LARGE($AP$73:AP94,3),"")</f>
        <v/>
      </c>
      <c r="H6" s="23" t="str">
        <f>IF(G6="","",INDEX($C$73:C94,MATCH(G6,$AP$73:AP94,0)))</f>
        <v/>
      </c>
      <c r="I6" s="482" t="str">
        <f>IF(G6="","",INDEX($I$73:I94,MATCH(G6,$AP$73:AP94,0)))</f>
        <v/>
      </c>
      <c r="AM6" s="483" t="str">
        <f>IF(G6="","",INDEX($D$73:D94,MATCH(G6,$AP$73:AP94,0)))</f>
        <v/>
      </c>
      <c r="AN6" s="480" t="str">
        <f>IF(G6="","",INDEX($E$73:E94,MATCH(G6,$AP$73:AP94,0)))</f>
        <v/>
      </c>
      <c r="AO6" s="480" t="str">
        <f>IF(G6="","",INDEX($F$73:F94,MATCH(G6,$AP$73:AP94,0)))</f>
        <v/>
      </c>
      <c r="AP6" s="481" t="str">
        <f>IF(G6="","",INDEX($G$73:G94,MATCH(G6,$AP$73:AP94,0)))</f>
        <v/>
      </c>
      <c r="AQ6" t="str">
        <f>IF(G6="","",INDEX($AQ$73:AQ94,MATCH(G6,$AP$73:AP94,0)))</f>
        <v/>
      </c>
      <c r="AR6" s="508" t="str">
        <f t="shared" si="0"/>
        <v/>
      </c>
      <c r="AS6" t="str">
        <f>IF(G6="","",INDEX($AS$73:AS94,MATCH(G6,$AP$73:AP94,0)))</f>
        <v/>
      </c>
      <c r="AT6" s="509" t="str">
        <f t="shared" si="1"/>
        <v/>
      </c>
      <c r="AU6" s="79">
        <v>0.4</v>
      </c>
      <c r="AV6" t="str">
        <f>IF(G6="","",INDEX($AV$73:AV94,MATCH(G6,$AP$73:AP94,0)))</f>
        <v/>
      </c>
      <c r="AW6" t="str">
        <f>IF(G6="","",INDEX($AW$73:AW94,MATCH(G6,$AP$73:AP94,0)))</f>
        <v/>
      </c>
      <c r="AZ6" s="49"/>
      <c r="BA6">
        <v>100000</v>
      </c>
      <c r="BB6" t="s">
        <v>233</v>
      </c>
      <c r="BD6">
        <f>$D$5*AU8</f>
        <v>12000</v>
      </c>
      <c r="BE6">
        <f>$D$7*AU8</f>
        <v>300</v>
      </c>
    </row>
    <row r="7" spans="1:57" ht="17.25" customHeight="1" x14ac:dyDescent="0.25">
      <c r="A7" s="38"/>
      <c r="B7" s="38"/>
      <c r="C7" s="209" t="s">
        <v>212</v>
      </c>
      <c r="D7" s="573">
        <f>IFERROR(IF(AND(A1O=1,REGNAME=AR1I),(D5*D6),"Invalid User"),"Enable Macro")</f>
        <v>1000</v>
      </c>
      <c r="E7" s="573"/>
      <c r="F7" s="495"/>
      <c r="G7" s="36" t="str">
        <f>IFERROR(LARGE($AP$73:AP95,4),"")</f>
        <v/>
      </c>
      <c r="H7" s="23" t="str">
        <f>IF(G7="","",INDEX($C$73:C95,MATCH(G7,$AP$73:AP95,0)))</f>
        <v/>
      </c>
      <c r="I7" s="482" t="str">
        <f>IF(G7="","",INDEX($I$73:I95,MATCH(G7,$AP$73:AP95,0)))</f>
        <v/>
      </c>
      <c r="AM7" s="483" t="str">
        <f>IF(G7="","",INDEX($D$73:D95,MATCH(G7,$AP$73:AP95,0)))</f>
        <v/>
      </c>
      <c r="AN7" s="480" t="str">
        <f>IF(G7="","",INDEX($E$73:E95,MATCH(G7,$AP$73:AP95,0)))</f>
        <v/>
      </c>
      <c r="AO7" s="480" t="str">
        <f>IF(G7="","",INDEX($F$73:F95,MATCH(G7,$AP$73:AP95,0)))</f>
        <v/>
      </c>
      <c r="AP7" s="481" t="str">
        <f>IF(G7="","",INDEX($G$73:G95,MATCH(G7,$AP$73:AP95,0)))</f>
        <v/>
      </c>
      <c r="AQ7" t="str">
        <f>IF(G7="","",INDEX($AQ$73:AQ95,MATCH(G7,$AP$73:AP95,0)))</f>
        <v/>
      </c>
      <c r="AR7" s="508" t="str">
        <f t="shared" si="0"/>
        <v/>
      </c>
      <c r="AS7" t="str">
        <f>IF(G7="","",INDEX($AS$73:AS95,MATCH(G7,$AP$73:AP95,0)))</f>
        <v/>
      </c>
      <c r="AT7" s="509" t="str">
        <f t="shared" si="1"/>
        <v/>
      </c>
      <c r="AU7" s="48" t="s">
        <v>228</v>
      </c>
      <c r="AV7" t="str">
        <f>IF(G7="","",INDEX($AR$73:AR95,MATCH(G7,$AP$73:AP95,0)))</f>
        <v/>
      </c>
      <c r="AW7" t="str">
        <f>IF(G7="","",INDEX($AT$73:AT95,MATCH(G7,$AP$73:AP95,0)))</f>
        <v/>
      </c>
      <c r="AZ7" s="50"/>
      <c r="BB7" t="s">
        <v>287</v>
      </c>
    </row>
    <row r="8" spans="1:57" ht="17.25" customHeight="1" x14ac:dyDescent="0.25">
      <c r="A8" s="45" t="s">
        <v>147</v>
      </c>
      <c r="B8" s="38"/>
      <c r="C8" s="241" t="s">
        <v>164</v>
      </c>
      <c r="D8" s="613" t="s">
        <v>288</v>
      </c>
      <c r="E8" s="613"/>
      <c r="F8" s="495"/>
      <c r="G8" s="36" t="str">
        <f>IFERROR(LARGE($AP$73:AP96,5),"")</f>
        <v/>
      </c>
      <c r="H8" s="23" t="str">
        <f>IF(G8="","",INDEX($C$73:C96,MATCH(G8,$AP$73:AP96,0)))</f>
        <v/>
      </c>
      <c r="I8" s="482" t="str">
        <f>IF(G8="","",INDEX($I$73:I96,MATCH(G8,$AP$73:AP96,0)))</f>
        <v/>
      </c>
      <c r="AM8" s="483" t="str">
        <f>IF(G8="","",INDEX($D$73:D96,MATCH(G8,$AP$73:AP96,0)))</f>
        <v/>
      </c>
      <c r="AN8" s="480" t="str">
        <f>IF(G8="","",INDEX($E$73:E96,MATCH(G8,$AP$73:AP96,0)))</f>
        <v/>
      </c>
      <c r="AO8" s="480" t="str">
        <f>IF(G8="","",INDEX($F$73:F96,MATCH(G8,$AP$73:AP96,0)))</f>
        <v/>
      </c>
      <c r="AP8" s="481" t="str">
        <f>IF(G8="","",INDEX($G$73:G96,MATCH(G8,$AP$73:AP96,0)))</f>
        <v/>
      </c>
      <c r="AQ8" t="str">
        <f>IF(G8="","",INDEX($AQ$73:AQ96,MATCH(G8,$AP$73:AP96,0)))</f>
        <v/>
      </c>
      <c r="AR8" s="508" t="str">
        <f t="shared" si="0"/>
        <v/>
      </c>
      <c r="AS8" t="str">
        <f>IF(G8="","",INDEX($AS$73:AS96,MATCH(G8,$AP$73:AP96,0)))</f>
        <v/>
      </c>
      <c r="AT8" s="509" t="str">
        <f t="shared" si="1"/>
        <v/>
      </c>
      <c r="AU8" s="79">
        <v>0.3</v>
      </c>
      <c r="AV8" t="str">
        <f>IF(G8="","",INDEX($AR$73:AR96,MATCH(G8,$AP$73:AP96,0)))</f>
        <v/>
      </c>
      <c r="AW8" t="str">
        <f>IF(G8="","",INDEX($AT$73:AT96,MATCH(G8,$AP$73:AP96,0)))</f>
        <v/>
      </c>
      <c r="AZ8" s="38"/>
    </row>
    <row r="9" spans="1:57" ht="17.25" customHeight="1" x14ac:dyDescent="0.25">
      <c r="A9" s="38"/>
      <c r="B9" s="45"/>
      <c r="C9" s="241" t="s">
        <v>164</v>
      </c>
      <c r="D9" s="614" t="s">
        <v>148</v>
      </c>
      <c r="E9" s="614"/>
      <c r="F9" s="117">
        <f>D7/D3</f>
        <v>0.01</v>
      </c>
      <c r="G9" s="473" t="str">
        <f>IFERROR("You Are Risking"&amp;TEXT(F9," 0.0%")&amp;" of Your Total Equity Per Trade","")</f>
        <v>You Are Risking 1.0% of Your Total Equity Per Trade</v>
      </c>
      <c r="H9" s="473"/>
      <c r="I9" s="473"/>
      <c r="AM9" s="473"/>
      <c r="AN9" s="473"/>
      <c r="AO9" s="473"/>
      <c r="AP9" s="490" t="str">
        <f>Sheet1!A2</f>
        <v>2018-10-23T14:50:00+08:00</v>
      </c>
      <c r="AQ9" s="473"/>
      <c r="AR9" s="494"/>
      <c r="AT9" s="581"/>
      <c r="AU9" s="581"/>
      <c r="AZ9" s="38"/>
    </row>
    <row r="10" spans="1:57" ht="6.75" customHeight="1" x14ac:dyDescent="0.25">
      <c r="A10" s="38"/>
      <c r="B10" s="44"/>
      <c r="C10" s="43"/>
      <c r="D10" s="38"/>
      <c r="E10" s="38"/>
      <c r="F10" s="30"/>
      <c r="G10" s="473"/>
      <c r="H10" s="473"/>
      <c r="I10" s="473"/>
      <c r="AM10" s="473"/>
      <c r="AN10" s="473"/>
      <c r="AO10" s="473"/>
      <c r="AP10" s="473"/>
      <c r="AQ10" s="473"/>
      <c r="AR10" s="494"/>
      <c r="AT10" s="581"/>
      <c r="AU10" s="581"/>
      <c r="AZ10" s="38"/>
    </row>
    <row r="11" spans="1:57" ht="21.75" customHeight="1" x14ac:dyDescent="0.25">
      <c r="A11" s="11"/>
      <c r="B11" s="566" t="s">
        <v>213</v>
      </c>
      <c r="C11" s="565" t="s">
        <v>218</v>
      </c>
      <c r="D11" s="566" t="s">
        <v>214</v>
      </c>
      <c r="E11" s="570" t="s">
        <v>215</v>
      </c>
      <c r="F11" s="569" t="s">
        <v>216</v>
      </c>
      <c r="G11" s="602" t="s">
        <v>233</v>
      </c>
      <c r="H11" s="568" t="s">
        <v>204</v>
      </c>
      <c r="I11" s="568"/>
      <c r="J11" t="s">
        <v>215</v>
      </c>
      <c r="K11" t="s">
        <v>216</v>
      </c>
      <c r="L11" t="s">
        <v>216</v>
      </c>
      <c r="M11" t="s">
        <v>215</v>
      </c>
      <c r="N11" t="s">
        <v>148</v>
      </c>
      <c r="O11" t="s">
        <v>165</v>
      </c>
      <c r="P11" t="s">
        <v>166</v>
      </c>
      <c r="Q11" t="s">
        <v>153</v>
      </c>
      <c r="R11" t="s">
        <v>154</v>
      </c>
      <c r="S11" t="s">
        <v>160</v>
      </c>
      <c r="T11" t="s">
        <v>155</v>
      </c>
      <c r="U11" t="s">
        <v>156</v>
      </c>
      <c r="V11" t="s">
        <v>157</v>
      </c>
      <c r="W11" t="s">
        <v>158</v>
      </c>
      <c r="X11" t="s">
        <v>159</v>
      </c>
      <c r="Y11" t="s">
        <v>160</v>
      </c>
      <c r="Z11" t="s">
        <v>155</v>
      </c>
      <c r="AA11" t="s">
        <v>156</v>
      </c>
      <c r="AB11" t="s">
        <v>157</v>
      </c>
      <c r="AC11" t="s">
        <v>161</v>
      </c>
      <c r="AD11" t="s">
        <v>158</v>
      </c>
      <c r="AE11" t="s">
        <v>159</v>
      </c>
      <c r="AL11" t="s">
        <v>150</v>
      </c>
      <c r="AM11" s="409" t="s">
        <v>206</v>
      </c>
      <c r="AN11" s="566" t="s">
        <v>207</v>
      </c>
      <c r="AO11" s="566"/>
      <c r="AP11" s="566"/>
      <c r="AR11" s="493" t="s">
        <v>195</v>
      </c>
      <c r="AT11" s="493" t="s">
        <v>209</v>
      </c>
      <c r="AU11" s="601" t="s">
        <v>217</v>
      </c>
      <c r="AZ11" s="11"/>
    </row>
    <row r="12" spans="1:57" ht="16.5" customHeight="1" x14ac:dyDescent="0.25">
      <c r="A12" s="11"/>
      <c r="B12" s="566"/>
      <c r="C12" s="566"/>
      <c r="D12" s="566"/>
      <c r="E12" s="570"/>
      <c r="F12" s="569"/>
      <c r="G12" s="603"/>
      <c r="H12" s="500" t="s">
        <v>682</v>
      </c>
      <c r="I12" s="500" t="s">
        <v>681</v>
      </c>
      <c r="AG12" t="s">
        <v>155</v>
      </c>
      <c r="AH12" t="s">
        <v>156</v>
      </c>
      <c r="AI12" t="s">
        <v>157</v>
      </c>
      <c r="AJ12" t="s">
        <v>161</v>
      </c>
      <c r="AM12" s="13" t="s">
        <v>231</v>
      </c>
      <c r="AN12" s="14" t="s">
        <v>195</v>
      </c>
      <c r="AO12" s="15" t="s">
        <v>209</v>
      </c>
      <c r="AP12" s="14" t="s">
        <v>232</v>
      </c>
      <c r="AR12" s="13" t="s">
        <v>285</v>
      </c>
      <c r="AS12" t="s">
        <v>230</v>
      </c>
      <c r="AT12" s="13" t="s">
        <v>286</v>
      </c>
      <c r="AU12" s="601"/>
      <c r="AX12" t="s">
        <v>229</v>
      </c>
      <c r="AY12" t="s">
        <v>162</v>
      </c>
      <c r="AZ12" s="80"/>
    </row>
    <row r="13" spans="1:57" ht="15.95" customHeight="1" x14ac:dyDescent="0.25">
      <c r="A13" s="38"/>
      <c r="B13" s="608">
        <v>43392</v>
      </c>
      <c r="C13" s="609" t="s">
        <v>394</v>
      </c>
      <c r="D13" s="417">
        <v>2.29</v>
      </c>
      <c r="E13" s="610">
        <v>2.25</v>
      </c>
      <c r="F13" s="611">
        <v>2.8</v>
      </c>
      <c r="G13" s="612">
        <f>IFERROR(IF($G$11="Ave. Price",D73,G73),"")</f>
        <v>2.3590209047619051</v>
      </c>
      <c r="H13" s="501"/>
      <c r="I13" s="499">
        <f>IF(H13&gt;0,H13,IF(D13="","",IF($D$8="Maximum shares",AL13,IFERROR(IF(IF(N13=5,MROUND(Q13,5),IF($D$9="Board lot",ROUND(Q13,BA13),$BE$4/(X13-AE13)))&gt;P13,P13,IF(N13=5,MROUND(Q13,5),IF($D$9="Board lot",ROUND(Q13,BA13),$BE$4/(X13-AE13)))),""))))</f>
        <v>4000</v>
      </c>
      <c r="J13">
        <f>IF(E13=0,"",E13)</f>
        <v>2.25</v>
      </c>
      <c r="K13">
        <f>IF(F13=0,"",F13)</f>
        <v>2.8</v>
      </c>
      <c r="L13">
        <f t="shared" ref="L13:L18" si="2">IF(OR(D13="",K13=""),"",K13)</f>
        <v>2.8</v>
      </c>
      <c r="M13">
        <f t="shared" ref="M13:M18" si="3">IF(OR(D13="",J13=""),"",J13)</f>
        <v>2.25</v>
      </c>
      <c r="N13">
        <f>IFERROR(IF(AND(D13&gt;='User Guide &amp; Settings'!$Z$5,D13&lt;='User Guide &amp; Settings'!$AA$5),'User Guide &amp; Settings'!$AC$5,IF(AND(D13&gt;='User Guide &amp; Settings'!$Z$4,D13&lt;='User Guide &amp; Settings'!$AA$4),'User Guide &amp; Settings'!$AC$4,IF(AND(D13&gt;='User Guide &amp; Settings'!$Z$6,D13&lt;='User Guide &amp; Settings'!$AA$7),'User Guide &amp; Settings'!$AC$6,IF(AND(D13&gt;='User Guide &amp; Settings'!$Z$8,D13&lt;='User Guide &amp; Settings'!$AA$8),'User Guide &amp; Settings'!$AC$8,IF(AND(D13&gt;='User Guide &amp; Settings'!$Z$9,D13&lt;='User Guide &amp; Settings'!$AA$23),'User Guide &amp; Settings'!$AC$23,IF(AND(D13&gt;='User Guide &amp; Settings'!$Z$24,D13&lt;='User Guide &amp; Settings'!$AA$27),'User Guide &amp; Settings'!$AC$27,IF(D13&gt;='User Guide &amp; Settings'!$Z$28,'User Guide &amp; Settings'!$AC$28,0))))))),"")</f>
        <v>1000</v>
      </c>
      <c r="O13">
        <f>$BD$4/D13</f>
        <v>5240.1746724890827</v>
      </c>
      <c r="P13">
        <f t="shared" ref="P13:P18" si="4">IF(N13=5,MROUND(O13,5),IF($D$9="Board lot",ROUND(O13,BA13),O13))</f>
        <v>5000</v>
      </c>
      <c r="Q13">
        <f>$BE$4/(X13-AE13)</f>
        <v>4108.3509079455298</v>
      </c>
      <c r="R13">
        <f>$BE$4/(D13-M13)</f>
        <v>7499.9999999999936</v>
      </c>
      <c r="S13">
        <f t="shared" ref="S13:S18" si="5">R13*D13</f>
        <v>17174.999999999985</v>
      </c>
      <c r="T13">
        <f>IF(IF('User Guide &amp; Settings'!$S$5="Amount",'User Guide &amp; Settings'!$T$5*S13,IF('User Guide &amp; Settings'!$S$5="Total Shares",'User Guide &amp; Settings'!$T$5*R13,'User Guide &amp; Settings'!$T$5))=0,MAX(IF('User Guide &amp; Settings'!$P$5="amount",(S13*'User Guide &amp; Settings'!$Q$5),IF('User Guide &amp; Settings'!$P$5="Total Shares",('User Guide &amp; Settings'!$Q$5*R13),'User Guide &amp; Settings'!$Q$5)),'User Guide &amp; Settings'!$R$5),MIN(IF('User Guide &amp; Settings'!$S$5="Amount",'User Guide &amp; Settings'!$T$5*S13,IF('User Guide &amp; Settings'!$S$5="Total Shares",'User Guide &amp; Settings'!$T$5*R13,'User Guide &amp; Settings'!$T$5)),MAX(IF('User Guide &amp; Settings'!$P$5="amount",(S13*'User Guide &amp; Settings'!$Q$5),IF('User Guide &amp; Settings'!$P$5="Total Shares",('User Guide &amp; Settings'!$Q$5*R13),'User Guide &amp; Settings'!$Q$5)),'User Guide &amp; Settings'!$R$5)))</f>
        <v>42.937499999999964</v>
      </c>
      <c r="U13">
        <f>IF(IF('User Guide &amp; Settings'!$S$6="Amount",'User Guide &amp; Settings'!$T$6*S13,IF('User Guide &amp; Settings'!$S$6="Total Shares",'User Guide &amp; Settings'!$T$6*R13,'User Guide &amp; Settings'!$T$6))=0,MAX(IF('User Guide &amp; Settings'!$P$6="amount",(S13*'User Guide &amp; Settings'!$Q$6),IF('User Guide &amp; Settings'!$P$6="Total Shares",('User Guide &amp; Settings'!$Q$6*R13),'User Guide &amp; Settings'!$Q$6)),'User Guide &amp; Settings'!$R$6),MIN(IF('User Guide &amp; Settings'!$S$6="Amount",'User Guide &amp; Settings'!$T$6*S13,IF('User Guide &amp; Settings'!$S$6="Total Shares",'User Guide &amp; Settings'!$T$6*R13,'User Guide &amp; Settings'!$T$6)),MAX(IF('User Guide &amp; Settings'!$P$6="amount",(S13*'User Guide &amp; Settings'!$Q$6),IF('User Guide &amp; Settings'!$P$6="Total Shares",('User Guide &amp; Settings'!$Q$6*R13),'User Guide &amp; Settings'!$Q$6)),'User Guide &amp; Settings'!$R$6)))</f>
        <v>5.1524999999999954</v>
      </c>
      <c r="V13">
        <f>IF(IF('User Guide &amp; Settings'!$S$7="Amount",'User Guide &amp; Settings'!$T$7*S13,IF('User Guide &amp; Settings'!$S$7="Total Shares",'User Guide &amp; Settings'!$T$7*R13,'User Guide &amp; Settings'!$T$7))=0,MAX(IF('User Guide &amp; Settings'!$P$7="amount",(S13*'User Guide &amp; Settings'!$Q$7),IF('User Guide &amp; Settings'!$P$7="Total Shares",('User Guide &amp; Settings'!$Q$7*R13),'User Guide &amp; Settings'!$Q$7)),'User Guide &amp; Settings'!$R$7),MIN(IF('User Guide &amp; Settings'!$S$7="Amount",'User Guide &amp; Settings'!$T$7*S13,IF('User Guide &amp; Settings'!$S$7="Total Shares",'User Guide &amp; Settings'!$T$7*R13,'User Guide &amp; Settings'!$T$7)),MAX(IF('User Guide &amp; Settings'!$P$7="amount",(S13*'User Guide &amp; Settings'!$Q$7),IF('User Guide &amp; Settings'!$P$7="Total Shares",('User Guide &amp; Settings'!$Q$7*R13),'User Guide &amp; Settings'!$Q$7)),'User Guide &amp; Settings'!$R$7)))</f>
        <v>25.762499999999978</v>
      </c>
      <c r="W13">
        <f>S13+SUM(T13:V13)</f>
        <v>17248.852499999986</v>
      </c>
      <c r="X13">
        <f>IFERROR(W13/R13,0)</f>
        <v>2.2998470000000002</v>
      </c>
      <c r="Y13">
        <f t="shared" ref="Y13:Y18" si="6">R13*M13</f>
        <v>16874.999999999985</v>
      </c>
      <c r="Z13">
        <f>IF(IF('User Guide &amp; Settings'!$S$5="Amount",'User Guide &amp; Settings'!$T$5*Y13,IF('User Guide &amp; Settings'!$S$5="Total Shares",'User Guide &amp; Settings'!$T$5*R13,'User Guide &amp; Settings'!$T$5))=0,MAX(IF('User Guide &amp; Settings'!$P$5="amount",(Y13*'User Guide &amp; Settings'!$Q$5),IF('User Guide &amp; Settings'!$P$5="Total Shares",('User Guide &amp; Settings'!$Q$5*R13),'User Guide &amp; Settings'!$Q$5)),'User Guide &amp; Settings'!$R$5),MIN(IF('User Guide &amp; Settings'!$S$5="Amount",'User Guide &amp; Settings'!$T$5*Y13,IF('User Guide &amp; Settings'!$S$5="Total Shares",'User Guide &amp; Settings'!$T$5*R13,'User Guide &amp; Settings'!$T$5)),MAX(IF('User Guide &amp; Settings'!$P$5="amount",(Y13*'User Guide &amp; Settings'!$Q$5),IF('User Guide &amp; Settings'!$P$5="Total Shares",('User Guide &amp; Settings'!$Q$5*R13),'User Guide &amp; Settings'!$Q$5)),'User Guide &amp; Settings'!$R$5)))</f>
        <v>42.187499999999964</v>
      </c>
      <c r="AA13">
        <f>IF(IF('User Guide &amp; Settings'!$S$6="Amount",'User Guide &amp; Settings'!$T$6*Y13,IF('User Guide &amp; Settings'!$S$6="Total Shares",'User Guide &amp; Settings'!$T$6*R13,'User Guide &amp; Settings'!$T$6))=0,MAX(IF('User Guide &amp; Settings'!$P$6="amount",(Y13*'User Guide &amp; Settings'!$Q$6),IF('User Guide &amp; Settings'!$P$6="Total Shares",('User Guide &amp; Settings'!$Q$6*R13),'User Guide &amp; Settings'!$Q$6)),'User Guide &amp; Settings'!$R$6),MIN(IF('User Guide &amp; Settings'!$S$6="Amount",'User Guide &amp; Settings'!$T$6*Y13,IF('User Guide &amp; Settings'!$S$6="Total Shares",'User Guide &amp; Settings'!$T$6*R13,'User Guide &amp; Settings'!$T$6)),MAX(IF('User Guide &amp; Settings'!$P$6="amount",(Y13*'User Guide &amp; Settings'!$Q$6),IF('User Guide &amp; Settings'!$P$6="Total Shares",('User Guide &amp; Settings'!$Q$6*R13),'User Guide &amp; Settings'!$Q$6)),'User Guide &amp; Settings'!$R$6)))</f>
        <v>5.0624999999999956</v>
      </c>
      <c r="AB13">
        <f>IF(IF('User Guide &amp; Settings'!$S$7="Amount",'User Guide &amp; Settings'!$T$7*Y13,IF('User Guide &amp; Settings'!$S$7="Total Shares",'User Guide &amp; Settings'!$T$7*R13,'User Guide &amp; Settings'!$T$7))=0,MAX(IF('User Guide &amp; Settings'!$P$7="amount",(Y13*'User Guide &amp; Settings'!$Q$7),IF('User Guide &amp; Settings'!$P$7="Total Shares",('User Guide &amp; Settings'!$Q$7*R13),'User Guide &amp; Settings'!$Q$7)),'User Guide &amp; Settings'!$R$7),MIN(IF('User Guide &amp; Settings'!$S$7="Amount",'User Guide &amp; Settings'!$T$7*Y13,IF('User Guide &amp; Settings'!$S$7="Total Shares",'User Guide &amp; Settings'!$T$7*R13,'User Guide &amp; Settings'!$T$7)),MAX(IF('User Guide &amp; Settings'!$P$7="amount",(Y13*'User Guide &amp; Settings'!$Q$7),IF('User Guide &amp; Settings'!$P$7="Total Shares",('User Guide &amp; Settings'!$Q$7*R13),'User Guide &amp; Settings'!$Q$7)),'User Guide &amp; Settings'!$R$7)))</f>
        <v>25.312499999999979</v>
      </c>
      <c r="AC13">
        <f>IF(IF('User Guide &amp; Settings'!$S$8="Amount",'User Guide &amp; Settings'!$T$8*Y13,IF('User Guide &amp; Settings'!$S$8="Total Shares",'User Guide &amp; Settings'!$T$8*R13,'User Guide &amp; Settings'!$T$8))=0,MAX(IF('User Guide &amp; Settings'!$P$8="amount",(Y13*'User Guide &amp; Settings'!$Q$8),IF('User Guide &amp; Settings'!$P$8="Total Shares",('User Guide &amp; Settings'!$Q$8*R13),'User Guide &amp; Settings'!$Q$8)),'User Guide &amp; Settings'!$R$8),MIN(IF('User Guide &amp; Settings'!$S$8="Amount",'User Guide &amp; Settings'!$T$8*Y13,IF('User Guide &amp; Settings'!$S$8="Total Shares",'User Guide &amp; Settings'!$T$8*R13,'User Guide &amp; Settings'!$T$8)),MAX(IF('User Guide &amp; Settings'!$P$8="amount",(Y13*'User Guide &amp; Settings'!$Q$8),IF('User Guide &amp; Settings'!$P$8="Total Shares",('User Guide &amp; Settings'!$Q$8*R13),'User Guide &amp; Settings'!$Q$8)),'User Guide &amp; Settings'!$R$8)))</f>
        <v>101.24999999999991</v>
      </c>
      <c r="AD13">
        <f>Y13-SUM(Z13:AC13)</f>
        <v>16701.187499999985</v>
      </c>
      <c r="AE13">
        <f>AD13/R13</f>
        <v>2.2268249999999998</v>
      </c>
      <c r="AF13">
        <f t="shared" ref="AF13:AF18" si="7">L13*I13</f>
        <v>11200</v>
      </c>
      <c r="AG13">
        <f>IF(IF('User Guide &amp; Settings'!$S$5="Amount",'User Guide &amp; Settings'!$T$5*AF13,IF('User Guide &amp; Settings'!$S$5="Total Shares",'User Guide &amp; Settings'!$T$5*I13,'User Guide &amp; Settings'!$T$5))=0,MAX(IF('User Guide &amp; Settings'!$P$5="amount",(AF13*'User Guide &amp; Settings'!$Q$5),IF('User Guide &amp; Settings'!$P$5="Total Shares",('User Guide &amp; Settings'!$Q$5*I13),'User Guide &amp; Settings'!$Q$5)),'User Guide &amp; Settings'!$R$5),MIN(IF('User Guide &amp; Settings'!$S$5="Amount",'User Guide &amp; Settings'!$T$5*AF13,IF('User Guide &amp; Settings'!$S$5="Total Shares",'User Guide &amp; Settings'!$T$5*I13,'User Guide &amp; Settings'!$T$5)),MAX(IF('User Guide &amp; Settings'!$P$5="amount",(AF13*'User Guide &amp; Settings'!$Q$5),IF('User Guide &amp; Settings'!$P$5="Total Shares",('User Guide &amp; Settings'!$Q$5*I13),'User Guide &amp; Settings'!$Q$5)),'User Guide &amp; Settings'!$R$5)))</f>
        <v>28</v>
      </c>
      <c r="AH13">
        <f>IF(IF('User Guide &amp; Settings'!$S$6="Amount",'User Guide &amp; Settings'!$T$6*AF13,IF('User Guide &amp; Settings'!$S$6="Total Shares",'User Guide &amp; Settings'!$T$6*I13,'User Guide &amp; Settings'!$T$6))=0,MAX(IF('User Guide &amp; Settings'!$P$6="amount",(AF13*'User Guide &amp; Settings'!$Q$6),IF('User Guide &amp; Settings'!$P$6="Total Shares",('User Guide &amp; Settings'!$Q$6*I13),'User Guide &amp; Settings'!$Q$6)),'User Guide &amp; Settings'!$R$6),MIN(IF('User Guide &amp; Settings'!$S$6="Amount",'User Guide &amp; Settings'!$T$6*AF13,IF('User Guide &amp; Settings'!$S$6="Total Shares",'User Guide &amp; Settings'!$T$6*I13,'User Guide &amp; Settings'!$T$6)),MAX(IF('User Guide &amp; Settings'!$P$6="amount",(AF13*'User Guide &amp; Settings'!$Q$6),IF('User Guide &amp; Settings'!$P$6="Total Shares",('User Guide &amp; Settings'!$Q$6*I13),'User Guide &amp; Settings'!$Q$6)),'User Guide &amp; Settings'!$R$6)))</f>
        <v>3.36</v>
      </c>
      <c r="AI13">
        <f>IF(IF('User Guide &amp; Settings'!$S$7="Amount",'User Guide &amp; Settings'!$T$7*AF13,IF('User Guide &amp; Settings'!$S$7="Total Shares",'User Guide &amp; Settings'!$T$7*I13,'User Guide &amp; Settings'!$T$7))=0,MAX(IF('User Guide &amp; Settings'!$P$7="amount",(AF13*'User Guide &amp; Settings'!$Q$7),IF('User Guide &amp; Settings'!$P$7="Total Shares",('User Guide &amp; Settings'!$Q$7*I13),'User Guide &amp; Settings'!$Q$7)),'User Guide &amp; Settings'!$R$7),MIN(IF('User Guide &amp; Settings'!$S$7="Amount",'User Guide &amp; Settings'!$T$7*AF13,IF('User Guide &amp; Settings'!$S$7="Total Shares",'User Guide &amp; Settings'!$T$7*I13,'User Guide &amp; Settings'!$T$7)),MAX(IF('User Guide &amp; Settings'!$P$7="amount",(AF13*'User Guide &amp; Settings'!$Q$7),IF('User Guide &amp; Settings'!$P$7="Total Shares",('User Guide &amp; Settings'!$Q$7*I13),'User Guide &amp; Settings'!$Q$7)),'User Guide &amp; Settings'!$R$7)))</f>
        <v>16.8</v>
      </c>
      <c r="AJ13">
        <f>IF(IF('User Guide &amp; Settings'!$S$8="Amount",'User Guide &amp; Settings'!$T$8*AF13,IF('User Guide &amp; Settings'!$S$8="Total Shares",'User Guide &amp; Settings'!$T$8*I13,'User Guide &amp; Settings'!$T$8))=0,MAX(IF('User Guide &amp; Settings'!$P$8="amount",(AF13*'User Guide &amp; Settings'!$Q$8),IF('User Guide &amp; Settings'!$P$8="Total Shares",('User Guide &amp; Settings'!$Q$8*I13),'User Guide &amp; Settings'!$Q$8)),'User Guide &amp; Settings'!$R$8),MIN(IF('User Guide &amp; Settings'!$S$8="Amount",'User Guide &amp; Settings'!$T$8*AF13,IF('User Guide &amp; Settings'!$S$8="Total Shares",'User Guide &amp; Settings'!$T$8*I13,'User Guide &amp; Settings'!$T$8)),MAX(IF('User Guide &amp; Settings'!$P$8="amount",(AF13*'User Guide &amp; Settings'!$Q$8),IF('User Guide &amp; Settings'!$P$8="Total Shares",('User Guide &amp; Settings'!$Q$8*I13),'User Guide &amp; Settings'!$Q$8)),'User Guide &amp; Settings'!$R$8)))</f>
        <v>67.2</v>
      </c>
      <c r="AK13">
        <f t="shared" ref="AK13:AK18" si="8">(AF13-AG13-AH13-AI13-AJ13)/I13</f>
        <v>2.7711600000000001</v>
      </c>
      <c r="AL13">
        <f t="shared" ref="AL13:AL18" si="9">IFERROR(P13,"")</f>
        <v>5000</v>
      </c>
      <c r="AM13" s="413">
        <f>IFERROR(IF(D13="","",(IF(AND(D13&gt;0,M13="",OR(L13="",L13&gt;0)),"Enter STOP",(IF(AND(D13&gt;0,M13&gt;0,L13=""),"Enter TARGET",
(IF(D13&lt;=M13,"Invalid STOP",(IF(D13&gt;=L13,"Invalid TARGET",(I13*X13)))))))))),"")</f>
        <v>9199.3880000000008</v>
      </c>
      <c r="AN13" s="604" t="str">
        <f>IFERROR(IF(E13="","",(TEXT(AQ13/$D$7,"0.00"))&amp;"R"),"")</f>
        <v>-0.94R</v>
      </c>
      <c r="AO13" s="604" t="str">
        <f>IFERROR(IF(F13="","",(TEXT(AS13/$D$7,"0.00"))&amp;"R"),"")</f>
        <v>2.86R</v>
      </c>
      <c r="AP13" s="605">
        <f>IFERROR((AS13/$D$7)/(-AQ13/$D$7),"")</f>
        <v>3.0486729118153564</v>
      </c>
      <c r="AQ13">
        <f>IF(E13="","",SUM(AY13:AY15))</f>
        <v>-939.3246666666696</v>
      </c>
      <c r="AR13" s="586" t="str">
        <f>IF(AQ13=0,"",TEXT(AQ13,"0,00.00")&amp;" ("&amp;TEXT(AV13,"0.00%")&amp;")")</f>
        <v>-939.32 (-5.69%)</v>
      </c>
      <c r="AS13">
        <f>SUM(AX13:AX15)</f>
        <v>2863.6936666666647</v>
      </c>
      <c r="AT13" s="597" t="str">
        <f>IF(AS13=0,"",TEXT(AS13,"0,00.00")&amp;" ("&amp;TEXT(AW13,"0.00%")&amp;")")</f>
        <v>2,863.69 (17.34%)</v>
      </c>
      <c r="AU13" s="600" t="s">
        <v>378</v>
      </c>
      <c r="AV13">
        <f>IFERROR(AQ13/SUM(AM13:AM15),"")</f>
        <v>-5.6883445934864316E-2</v>
      </c>
      <c r="AW13">
        <f>IFERROR(AS13/SUM(AM13:AM15),"")</f>
        <v>0.1734190207523342</v>
      </c>
      <c r="AX13">
        <f t="shared" ref="AX13:AX18" si="10">IFERROR((AK13*I13)-AM13,"")</f>
        <v>1885.2519999999986</v>
      </c>
      <c r="AY13">
        <f t="shared" ref="AY13:AY18" si="11">IFERROR((I13*AE13)-AM13,"")</f>
        <v>-292.08800000000156</v>
      </c>
      <c r="AZ13" s="310"/>
      <c r="BA13">
        <f t="shared" ref="BA13:BA18" si="12">IF(N13=10,-1,IF(N13=100,-2,IF(N13=1000,-3,IF(N13=10000,-4,IF(N13=100000,-5,0)))))</f>
        <v>-3</v>
      </c>
      <c r="BB13" t="str">
        <f>C13</f>
        <v>IRC</v>
      </c>
    </row>
    <row r="14" spans="1:57" ht="15.95" customHeight="1" x14ac:dyDescent="0.25">
      <c r="A14" s="444"/>
      <c r="B14" s="591"/>
      <c r="C14" s="592"/>
      <c r="D14" s="416">
        <v>2.41</v>
      </c>
      <c r="E14" s="593"/>
      <c r="F14" s="594"/>
      <c r="G14" s="595"/>
      <c r="H14" s="502"/>
      <c r="I14" s="499">
        <f>IF(H14&gt;0,H14,IF(D14="","",IF($D$8="Maximum shares",AL14,IFERROR(IF(IF(N14=5,MROUND(Q14,5),IF($D$9="Board lot",ROUND(Q14,BA14),$BE$4/(X14-AE14)))&gt;P14,P14,IF(N14=5,MROUND(Q14,5),IF($D$9="Board lot",ROUND(Q14,BA14),$BE$4/(X14-AE14)))),""))))</f>
        <v>2000</v>
      </c>
      <c r="J14">
        <f>IF(E13=0,"",E13)</f>
        <v>2.25</v>
      </c>
      <c r="K14">
        <f>IF(F13=0,"",F13)</f>
        <v>2.8</v>
      </c>
      <c r="L14">
        <f t="shared" si="2"/>
        <v>2.8</v>
      </c>
      <c r="M14">
        <f t="shared" si="3"/>
        <v>2.25</v>
      </c>
      <c r="N14">
        <f>IFERROR(IF(AND(D14&gt;='User Guide &amp; Settings'!$Z$5,D14&lt;='User Guide &amp; Settings'!$AA$5),'User Guide &amp; Settings'!$AC$5,IF(AND(D14&gt;='User Guide &amp; Settings'!$Z$4,D14&lt;='User Guide &amp; Settings'!$AA$4),'User Guide &amp; Settings'!$AC$4,IF(AND(D14&gt;='User Guide &amp; Settings'!$Z$6,D14&lt;='User Guide &amp; Settings'!$AA$7),'User Guide &amp; Settings'!$AC$6,IF(AND(D14&gt;='User Guide &amp; Settings'!$Z$8,D14&lt;='User Guide &amp; Settings'!$AA$8),'User Guide &amp; Settings'!$AC$8,IF(AND(D14&gt;='User Guide &amp; Settings'!$Z$9,D14&lt;='User Guide &amp; Settings'!$AA$23),'User Guide &amp; Settings'!$AC$23,IF(AND(D14&gt;='User Guide &amp; Settings'!$Z$24,D14&lt;='User Guide &amp; Settings'!$AA$27),'User Guide &amp; Settings'!$AC$27,IF(D14&gt;='User Guide &amp; Settings'!$Z$28,'User Guide &amp; Settings'!$AC$28,0))))))),"")</f>
        <v>1000</v>
      </c>
      <c r="O14">
        <f>$BD$5/D14</f>
        <v>6639.0041493775934</v>
      </c>
      <c r="P14">
        <f t="shared" si="4"/>
        <v>7000</v>
      </c>
      <c r="Q14">
        <f>$BE$5/(X14-AE14)</f>
        <v>2016.0274179728847</v>
      </c>
      <c r="R14">
        <f>$BE$5/(D14-M14)</f>
        <v>2499.9999999999977</v>
      </c>
      <c r="S14">
        <f t="shared" si="5"/>
        <v>6024.9999999999945</v>
      </c>
      <c r="T14">
        <f>IF(IF('User Guide &amp; Settings'!$S$5="Amount",'User Guide &amp; Settings'!$T$5*S14,IF('User Guide &amp; Settings'!$S$5="Total Shares",'User Guide &amp; Settings'!$T$5*R14,'User Guide &amp; Settings'!$T$5))=0,MAX(IF('User Guide &amp; Settings'!$P$5="amount",(S14*'User Guide &amp; Settings'!$Q$5),IF('User Guide &amp; Settings'!$P$5="Total Shares",('User Guide &amp; Settings'!$Q$5*R14),'User Guide &amp; Settings'!$Q$5)),'User Guide &amp; Settings'!$R$5),MIN(IF('User Guide &amp; Settings'!$S$5="Amount",'User Guide &amp; Settings'!$T$5*S14,IF('User Guide &amp; Settings'!$S$5="Total Shares",'User Guide &amp; Settings'!$T$5*R14,'User Guide &amp; Settings'!$T$5)),MAX(IF('User Guide &amp; Settings'!$P$5="amount",(S14*'User Guide &amp; Settings'!$Q$5),IF('User Guide &amp; Settings'!$P$5="Total Shares",('User Guide &amp; Settings'!$Q$5*R14),'User Guide &amp; Settings'!$Q$5)),'User Guide &amp; Settings'!$R$5)))</f>
        <v>20</v>
      </c>
      <c r="U14">
        <f>IF(IF('User Guide &amp; Settings'!$S$6="Amount",'User Guide &amp; Settings'!$T$6*S14,IF('User Guide &amp; Settings'!$S$6="Total Shares",'User Guide &amp; Settings'!$T$6*R14,'User Guide &amp; Settings'!$T$6))=0,MAX(IF('User Guide &amp; Settings'!$P$6="amount",(S14*'User Guide &amp; Settings'!$Q$6),IF('User Guide &amp; Settings'!$P$6="Total Shares",('User Guide &amp; Settings'!$Q$6*R14),'User Guide &amp; Settings'!$Q$6)),'User Guide &amp; Settings'!$R$6),MIN(IF('User Guide &amp; Settings'!$S$6="Amount",'User Guide &amp; Settings'!$T$6*S14,IF('User Guide &amp; Settings'!$S$6="Total Shares",'User Guide &amp; Settings'!$T$6*R14,'User Guide &amp; Settings'!$T$6)),MAX(IF('User Guide &amp; Settings'!$P$6="amount",(S14*'User Guide &amp; Settings'!$Q$6),IF('User Guide &amp; Settings'!$P$6="Total Shares",('User Guide &amp; Settings'!$Q$6*R14),'User Guide &amp; Settings'!$Q$6)),'User Guide &amp; Settings'!$R$6)))</f>
        <v>2.4</v>
      </c>
      <c r="V14">
        <f>IF(IF('User Guide &amp; Settings'!$S$7="Amount",'User Guide &amp; Settings'!$T$7*S14,IF('User Guide &amp; Settings'!$S$7="Total Shares",'User Guide &amp; Settings'!$T$7*R14,'User Guide &amp; Settings'!$T$7))=0,MAX(IF('User Guide &amp; Settings'!$P$7="amount",(S14*'User Guide &amp; Settings'!$Q$7),IF('User Guide &amp; Settings'!$P$7="Total Shares",('User Guide &amp; Settings'!$Q$7*R14),'User Guide &amp; Settings'!$Q$7)),'User Guide &amp; Settings'!$R$7),MIN(IF('User Guide &amp; Settings'!$S$7="Amount",'User Guide &amp; Settings'!$T$7*S14,IF('User Guide &amp; Settings'!$S$7="Total Shares",'User Guide &amp; Settings'!$T$7*R14,'User Guide &amp; Settings'!$T$7)),MAX(IF('User Guide &amp; Settings'!$P$7="amount",(S14*'User Guide &amp; Settings'!$Q$7),IF('User Guide &amp; Settings'!$P$7="Total Shares",('User Guide &amp; Settings'!$Q$7*R14),'User Guide &amp; Settings'!$Q$7)),'User Guide &amp; Settings'!$R$7)))</f>
        <v>9.0374999999999925</v>
      </c>
      <c r="W14">
        <f t="shared" ref="W14:W18" si="13">S14+SUM(T14:V14)</f>
        <v>6056.4374999999945</v>
      </c>
      <c r="X14">
        <f t="shared" ref="X14:X18" si="14">W14/R14</f>
        <v>2.4225750000000001</v>
      </c>
      <c r="Y14">
        <f t="shared" si="6"/>
        <v>5624.9999999999945</v>
      </c>
      <c r="Z14">
        <f>IF(IF('User Guide &amp; Settings'!$S$5="Amount",'User Guide &amp; Settings'!$T$5*Y14,IF('User Guide &amp; Settings'!$S$5="Total Shares",'User Guide &amp; Settings'!$T$5*R14,'User Guide &amp; Settings'!$T$5))=0,MAX(IF('User Guide &amp; Settings'!$P$5="amount",(Y14*'User Guide &amp; Settings'!$Q$5),IF('User Guide &amp; Settings'!$P$5="Total Shares",('User Guide &amp; Settings'!$Q$5*R14),'User Guide &amp; Settings'!$Q$5)),'User Guide &amp; Settings'!$R$5),MIN(IF('User Guide &amp; Settings'!$S$5="Amount",'User Guide &amp; Settings'!$T$5*Y14,IF('User Guide &amp; Settings'!$S$5="Total Shares",'User Guide &amp; Settings'!$T$5*R14,'User Guide &amp; Settings'!$T$5)),MAX(IF('User Guide &amp; Settings'!$P$5="amount",(Y14*'User Guide &amp; Settings'!$Q$5),IF('User Guide &amp; Settings'!$P$5="Total Shares",('User Guide &amp; Settings'!$Q$5*R14),'User Guide &amp; Settings'!$Q$5)),'User Guide &amp; Settings'!$R$5)))</f>
        <v>20</v>
      </c>
      <c r="AA14">
        <f>IF(IF('User Guide &amp; Settings'!$S$6="Amount",'User Guide &amp; Settings'!$T$6*Y14,IF('User Guide &amp; Settings'!$S$6="Total Shares",'User Guide &amp; Settings'!$T$6*R14,'User Guide &amp; Settings'!$T$6))=0,MAX(IF('User Guide &amp; Settings'!$P$6="amount",(Y14*'User Guide &amp; Settings'!$Q$6),IF('User Guide &amp; Settings'!$P$6="Total Shares",('User Guide &amp; Settings'!$Q$6*R14),'User Guide &amp; Settings'!$Q$6)),'User Guide &amp; Settings'!$R$6),MIN(IF('User Guide &amp; Settings'!$S$6="Amount",'User Guide &amp; Settings'!$T$6*Y14,IF('User Guide &amp; Settings'!$S$6="Total Shares",'User Guide &amp; Settings'!$T$6*R14,'User Guide &amp; Settings'!$T$6)),MAX(IF('User Guide &amp; Settings'!$P$6="amount",(Y14*'User Guide &amp; Settings'!$Q$6),IF('User Guide &amp; Settings'!$P$6="Total Shares",('User Guide &amp; Settings'!$Q$6*R14),'User Guide &amp; Settings'!$Q$6)),'User Guide &amp; Settings'!$R$6)))</f>
        <v>2.4</v>
      </c>
      <c r="AB14">
        <f>IF(IF('User Guide &amp; Settings'!$S$7="Amount",'User Guide &amp; Settings'!$T$7*Y14,IF('User Guide &amp; Settings'!$S$7="Total Shares",'User Guide &amp; Settings'!$T$7*R14,'User Guide &amp; Settings'!$T$7))=0,MAX(IF('User Guide &amp; Settings'!$P$7="amount",(Y14*'User Guide &amp; Settings'!$Q$7),IF('User Guide &amp; Settings'!$P$7="Total Shares",('User Guide &amp; Settings'!$Q$7*R14),'User Guide &amp; Settings'!$Q$7)),'User Guide &amp; Settings'!$R$7),MIN(IF('User Guide &amp; Settings'!$S$7="Amount",'User Guide &amp; Settings'!$T$7*Y14,IF('User Guide &amp; Settings'!$S$7="Total Shares",'User Guide &amp; Settings'!$T$7*R14,'User Guide &amp; Settings'!$T$7)),MAX(IF('User Guide &amp; Settings'!$P$7="amount",(Y14*'User Guide &amp; Settings'!$Q$7),IF('User Guide &amp; Settings'!$P$7="Total Shares",('User Guide &amp; Settings'!$Q$7*R14),'User Guide &amp; Settings'!$Q$7)),'User Guide &amp; Settings'!$R$7)))</f>
        <v>8.4374999999999911</v>
      </c>
      <c r="AC14">
        <f>IF(IF('User Guide &amp; Settings'!$S$8="Amount",'User Guide &amp; Settings'!$T$8*Y14,IF('User Guide &amp; Settings'!$S$8="Total Shares",'User Guide &amp; Settings'!$T$8*R14,'User Guide &amp; Settings'!$T$8))=0,MAX(IF('User Guide &amp; Settings'!$P$8="amount",(Y14*'User Guide &amp; Settings'!$Q$8),IF('User Guide &amp; Settings'!$P$8="Total Shares",('User Guide &amp; Settings'!$Q$8*R14),'User Guide &amp; Settings'!$Q$8)),'User Guide &amp; Settings'!$R$8),MIN(IF('User Guide &amp; Settings'!$S$8="Amount",'User Guide &amp; Settings'!$T$8*Y14,IF('User Guide &amp; Settings'!$S$8="Total Shares",'User Guide &amp; Settings'!$T$8*R14,'User Guide &amp; Settings'!$T$8)),MAX(IF('User Guide &amp; Settings'!$P$8="amount",(Y14*'User Guide &amp; Settings'!$Q$8),IF('User Guide &amp; Settings'!$P$8="Total Shares",('User Guide &amp; Settings'!$Q$8*R14),'User Guide &amp; Settings'!$Q$8)),'User Guide &amp; Settings'!$R$8)))</f>
        <v>33.749999999999964</v>
      </c>
      <c r="AD14">
        <f t="shared" ref="AD14:AD18" si="15">Y14-SUM(Z14:AC14)</f>
        <v>5560.4124999999949</v>
      </c>
      <c r="AE14">
        <f t="shared" ref="AE14:AE18" si="16">AD14/R14</f>
        <v>2.2241650000000002</v>
      </c>
      <c r="AF14">
        <f t="shared" si="7"/>
        <v>5600</v>
      </c>
      <c r="AG14">
        <f>IF(IF('User Guide &amp; Settings'!$S$5="Amount",'User Guide &amp; Settings'!$T$5*AF14,IF('User Guide &amp; Settings'!$S$5="Total Shares",'User Guide &amp; Settings'!$T$5*I14,'User Guide &amp; Settings'!$T$5))=0,MAX(IF('User Guide &amp; Settings'!$P$5="amount",(AF14*'User Guide &amp; Settings'!$Q$5),IF('User Guide &amp; Settings'!$P$5="Total Shares",('User Guide &amp; Settings'!$Q$5*I14),'User Guide &amp; Settings'!$Q$5)),'User Guide &amp; Settings'!$R$5),MIN(IF('User Guide &amp; Settings'!$S$5="Amount",'User Guide &amp; Settings'!$T$5*AF14,IF('User Guide &amp; Settings'!$S$5="Total Shares",'User Guide &amp; Settings'!$T$5*I14,'User Guide &amp; Settings'!$T$5)),MAX(IF('User Guide &amp; Settings'!$P$5="amount",(AF14*'User Guide &amp; Settings'!$Q$5),IF('User Guide &amp; Settings'!$P$5="Total Shares",('User Guide &amp; Settings'!$Q$5*I14),'User Guide &amp; Settings'!$Q$5)),'User Guide &amp; Settings'!$R$5)))</f>
        <v>20</v>
      </c>
      <c r="AH14">
        <f>IF(IF('User Guide &amp; Settings'!$S$6="Amount",'User Guide &amp; Settings'!$T$6*AF14,IF('User Guide &amp; Settings'!$S$6="Total Shares",'User Guide &amp; Settings'!$T$6*I14,'User Guide &amp; Settings'!$T$6))=0,MAX(IF('User Guide &amp; Settings'!$P$6="amount",(AF14*'User Guide &amp; Settings'!$Q$6),IF('User Guide &amp; Settings'!$P$6="Total Shares",('User Guide &amp; Settings'!$Q$6*I14),'User Guide &amp; Settings'!$Q$6)),'User Guide &amp; Settings'!$R$6),MIN(IF('User Guide &amp; Settings'!$S$6="Amount",'User Guide &amp; Settings'!$T$6*AF14,IF('User Guide &amp; Settings'!$S$6="Total Shares",'User Guide &amp; Settings'!$T$6*I14,'User Guide &amp; Settings'!$T$6)),MAX(IF('User Guide &amp; Settings'!$P$6="amount",(AF14*'User Guide &amp; Settings'!$Q$6),IF('User Guide &amp; Settings'!$P$6="Total Shares",('User Guide &amp; Settings'!$Q$6*I14),'User Guide &amp; Settings'!$Q$6)),'User Guide &amp; Settings'!$R$6)))</f>
        <v>2.4</v>
      </c>
      <c r="AI14">
        <f>IF(IF('User Guide &amp; Settings'!$S$7="Amount",'User Guide &amp; Settings'!$T$7*AF14,IF('User Guide &amp; Settings'!$S$7="Total Shares",'User Guide &amp; Settings'!$T$7*I14,'User Guide &amp; Settings'!$T$7))=0,MAX(IF('User Guide &amp; Settings'!$P$7="amount",(AF14*'User Guide &amp; Settings'!$Q$7),IF('User Guide &amp; Settings'!$P$7="Total Shares",('User Guide &amp; Settings'!$Q$7*I14),'User Guide &amp; Settings'!$Q$7)),'User Guide &amp; Settings'!$R$7),MIN(IF('User Guide &amp; Settings'!$S$7="Amount",'User Guide &amp; Settings'!$T$7*AF14,IF('User Guide &amp; Settings'!$S$7="Total Shares",'User Guide &amp; Settings'!$T$7*I14,'User Guide &amp; Settings'!$T$7)),MAX(IF('User Guide &amp; Settings'!$P$7="amount",(AF14*'User Guide &amp; Settings'!$Q$7),IF('User Guide &amp; Settings'!$P$7="Total Shares",('User Guide &amp; Settings'!$Q$7*I14),'User Guide &amp; Settings'!$Q$7)),'User Guide &amp; Settings'!$R$7)))</f>
        <v>8.4</v>
      </c>
      <c r="AJ14">
        <f>IF(IF('User Guide &amp; Settings'!$S$8="Amount",'User Guide &amp; Settings'!$T$8*AF14,IF('User Guide &amp; Settings'!$S$8="Total Shares",'User Guide &amp; Settings'!$T$8*I14,'User Guide &amp; Settings'!$T$8))=0,MAX(IF('User Guide &amp; Settings'!$P$8="amount",(AF14*'User Guide &amp; Settings'!$Q$8),IF('User Guide &amp; Settings'!$P$8="Total Shares",('User Guide &amp; Settings'!$Q$8*I14),'User Guide &amp; Settings'!$Q$8)),'User Guide &amp; Settings'!$R$8),MIN(IF('User Guide &amp; Settings'!$S$8="Amount",'User Guide &amp; Settings'!$T$8*AF14,IF('User Guide &amp; Settings'!$S$8="Total Shares",'User Guide &amp; Settings'!$T$8*I14,'User Guide &amp; Settings'!$T$8)),MAX(IF('User Guide &amp; Settings'!$P$8="amount",(AF14*'User Guide &amp; Settings'!$Q$8),IF('User Guide &amp; Settings'!$P$8="Total Shares",('User Guide &amp; Settings'!$Q$8*I14),'User Guide &amp; Settings'!$Q$8)),'User Guide &amp; Settings'!$R$8)))</f>
        <v>33.6</v>
      </c>
      <c r="AK14">
        <f t="shared" si="8"/>
        <v>2.7678000000000003</v>
      </c>
      <c r="AL14">
        <f t="shared" si="9"/>
        <v>7000</v>
      </c>
      <c r="AM14" s="414">
        <f t="shared" ref="AM14:AM18" si="17">IFERROR(IF(D14="","",(IF(AND(D14&gt;0,M14="",OR(L14="",L14&gt;0)),"Enter STOP",(IF(AND(D14&gt;0,M14&gt;0,L14=""),"Enter TARGET",
(IF(D14&lt;=M14,"Invalid STOP",(IF(D14&gt;=L14,"Invalid TARGET",(I14*X14)))))))))),"")</f>
        <v>4845.1500000000005</v>
      </c>
      <c r="AN14" s="584"/>
      <c r="AO14" s="584"/>
      <c r="AP14" s="582"/>
      <c r="AR14" s="587"/>
      <c r="AT14" s="598"/>
      <c r="AU14" s="590"/>
      <c r="AX14">
        <f t="shared" si="10"/>
        <v>690.44999999999982</v>
      </c>
      <c r="AY14">
        <f t="shared" si="11"/>
        <v>-396.82000000000062</v>
      </c>
      <c r="AZ14" s="310"/>
      <c r="BA14">
        <f t="shared" si="12"/>
        <v>-3</v>
      </c>
      <c r="BB14" t="str">
        <f>C13</f>
        <v>IRC</v>
      </c>
    </row>
    <row r="15" spans="1:57" ht="15.95" customHeight="1" x14ac:dyDescent="0.25">
      <c r="A15" s="444"/>
      <c r="B15" s="591"/>
      <c r="C15" s="592"/>
      <c r="D15" s="416">
        <v>2.4500000000000002</v>
      </c>
      <c r="E15" s="593"/>
      <c r="F15" s="594"/>
      <c r="G15" s="595"/>
      <c r="H15" s="503"/>
      <c r="I15" s="499">
        <f t="shared" ref="I15:I18" si="18">IF(H15&gt;0,H15,IF(D15="","",IF($D$8="Maximum shares",AL15,IFERROR(IF(IF(N15=5,MROUND(Q15,5),IF($D$9="Board lot",ROUND(Q15,BA15),$BE$4/(X15-AE15)))&gt;P15,P15,IF(N15=5,MROUND(Q15,5),IF($D$9="Board lot",ROUND(Q15,BA15),$BE$4/(X15-AE15)))),""))))</f>
        <v>1000</v>
      </c>
      <c r="J15">
        <f>IF(E13=0,"",E13)</f>
        <v>2.25</v>
      </c>
      <c r="K15">
        <f>IF(F13=0,"",F13)</f>
        <v>2.8</v>
      </c>
      <c r="L15">
        <f t="shared" si="2"/>
        <v>2.8</v>
      </c>
      <c r="M15">
        <f t="shared" si="3"/>
        <v>2.25</v>
      </c>
      <c r="N15">
        <f>IFERROR(IF(AND(D15&gt;='User Guide &amp; Settings'!$Z$5,D15&lt;='User Guide &amp; Settings'!$AA$5),'User Guide &amp; Settings'!$AC$5,IF(AND(D15&gt;='User Guide &amp; Settings'!$Z$4,D15&lt;='User Guide &amp; Settings'!$AA$4),'User Guide &amp; Settings'!$AC$4,IF(AND(D15&gt;='User Guide &amp; Settings'!$Z$6,D15&lt;='User Guide &amp; Settings'!$AA$7),'User Guide &amp; Settings'!$AC$6,IF(AND(D15&gt;='User Guide &amp; Settings'!$Z$8,D15&lt;='User Guide &amp; Settings'!$AA$8),'User Guide &amp; Settings'!$AC$8,IF(AND(D15&gt;='User Guide &amp; Settings'!$Z$9,D15&lt;='User Guide &amp; Settings'!$AA$23),'User Guide &amp; Settings'!$AC$23,IF(AND(D15&gt;='User Guide &amp; Settings'!$Z$24,D15&lt;='User Guide &amp; Settings'!$AA$27),'User Guide &amp; Settings'!$AC$27,IF(D15&gt;='User Guide &amp; Settings'!$Z$28,'User Guide &amp; Settings'!$AC$28,0))))))),"")</f>
        <v>1000</v>
      </c>
      <c r="O15">
        <f>$BD$6/D15</f>
        <v>4897.9591836734689</v>
      </c>
      <c r="P15">
        <f t="shared" si="4"/>
        <v>5000</v>
      </c>
      <c r="Q15">
        <f>$BE$6/(X15-AE15)</f>
        <v>1198.0033277870191</v>
      </c>
      <c r="R15">
        <f>$BE$6/(D15-M15)</f>
        <v>1499.9999999999986</v>
      </c>
      <c r="S15">
        <f t="shared" si="5"/>
        <v>3674.9999999999968</v>
      </c>
      <c r="T15">
        <f>IF(IF('User Guide &amp; Settings'!$S$5="Amount",'User Guide &amp; Settings'!$T$5*S15,IF('User Guide &amp; Settings'!$S$5="Total Shares",'User Guide &amp; Settings'!$T$5*R15,'User Guide &amp; Settings'!$T$5))=0,MAX(IF('User Guide &amp; Settings'!$P$5="amount",(S15*'User Guide &amp; Settings'!$Q$5),IF('User Guide &amp; Settings'!$P$5="Total Shares",('User Guide &amp; Settings'!$Q$5*R15),'User Guide &amp; Settings'!$Q$5)),'User Guide &amp; Settings'!$R$5),MIN(IF('User Guide &amp; Settings'!$S$5="Amount",'User Guide &amp; Settings'!$T$5*S15,IF('User Guide &amp; Settings'!$S$5="Total Shares",'User Guide &amp; Settings'!$T$5*R15,'User Guide &amp; Settings'!$T$5)),MAX(IF('User Guide &amp; Settings'!$P$5="amount",(S15*'User Guide &amp; Settings'!$Q$5),IF('User Guide &amp; Settings'!$P$5="Total Shares",('User Guide &amp; Settings'!$Q$5*R15),'User Guide &amp; Settings'!$Q$5)),'User Guide &amp; Settings'!$R$5)))</f>
        <v>20</v>
      </c>
      <c r="U15">
        <f>IF(IF('User Guide &amp; Settings'!$S$6="Amount",'User Guide &amp; Settings'!$T$6*S15,IF('User Guide &amp; Settings'!$S$6="Total Shares",'User Guide &amp; Settings'!$T$6*R15,'User Guide &amp; Settings'!$T$6))=0,MAX(IF('User Guide &amp; Settings'!$P$6="amount",(S15*'User Guide &amp; Settings'!$Q$6),IF('User Guide &amp; Settings'!$P$6="Total Shares",('User Guide &amp; Settings'!$Q$6*R15),'User Guide &amp; Settings'!$Q$6)),'User Guide &amp; Settings'!$R$6),MIN(IF('User Guide &amp; Settings'!$S$6="Amount",'User Guide &amp; Settings'!$T$6*S15,IF('User Guide &amp; Settings'!$S$6="Total Shares",'User Guide &amp; Settings'!$T$6*R15,'User Guide &amp; Settings'!$T$6)),MAX(IF('User Guide &amp; Settings'!$P$6="amount",(S15*'User Guide &amp; Settings'!$Q$6),IF('User Guide &amp; Settings'!$P$6="Total Shares",('User Guide &amp; Settings'!$Q$6*R15),'User Guide &amp; Settings'!$Q$6)),'User Guide &amp; Settings'!$R$6)))</f>
        <v>2.4</v>
      </c>
      <c r="V15">
        <f>IF(IF('User Guide &amp; Settings'!$S$7="Amount",'User Guide &amp; Settings'!$T$7*S15,IF('User Guide &amp; Settings'!$S$7="Total Shares",'User Guide &amp; Settings'!$T$7*R15,'User Guide &amp; Settings'!$T$7))=0,MAX(IF('User Guide &amp; Settings'!$P$7="amount",(S15*'User Guide &amp; Settings'!$Q$7),IF('User Guide &amp; Settings'!$P$7="Total Shares",('User Guide &amp; Settings'!$Q$7*R15),'User Guide &amp; Settings'!$Q$7)),'User Guide &amp; Settings'!$R$7),MIN(IF('User Guide &amp; Settings'!$S$7="Amount",'User Guide &amp; Settings'!$T$7*S15,IF('User Guide &amp; Settings'!$S$7="Total Shares",'User Guide &amp; Settings'!$T$7*R15,'User Guide &amp; Settings'!$T$7)),MAX(IF('User Guide &amp; Settings'!$P$7="amount",(S15*'User Guide &amp; Settings'!$Q$7),IF('User Guide &amp; Settings'!$P$7="Total Shares",('User Guide &amp; Settings'!$Q$7*R15),'User Guide &amp; Settings'!$Q$7)),'User Guide &amp; Settings'!$R$7)))</f>
        <v>5.5124999999999957</v>
      </c>
      <c r="W15">
        <f t="shared" si="13"/>
        <v>3702.9124999999967</v>
      </c>
      <c r="X15">
        <f t="shared" si="14"/>
        <v>2.4686083333333335</v>
      </c>
      <c r="Y15">
        <f t="shared" si="6"/>
        <v>3374.9999999999968</v>
      </c>
      <c r="Z15">
        <f>IF(IF('User Guide &amp; Settings'!$S$5="Amount",'User Guide &amp; Settings'!$T$5*Y15,IF('User Guide &amp; Settings'!$S$5="Total Shares",'User Guide &amp; Settings'!$T$5*R15,'User Guide &amp; Settings'!$T$5))=0,MAX(IF('User Guide &amp; Settings'!$P$5="amount",(Y15*'User Guide &amp; Settings'!$Q$5),IF('User Guide &amp; Settings'!$P$5="Total Shares",('User Guide &amp; Settings'!$Q$5*R15),'User Guide &amp; Settings'!$Q$5)),'User Guide &amp; Settings'!$R$5),MIN(IF('User Guide &amp; Settings'!$S$5="Amount",'User Guide &amp; Settings'!$T$5*Y15,IF('User Guide &amp; Settings'!$S$5="Total Shares",'User Guide &amp; Settings'!$T$5*R15,'User Guide &amp; Settings'!$T$5)),MAX(IF('User Guide &amp; Settings'!$P$5="amount",(Y15*'User Guide &amp; Settings'!$Q$5),IF('User Guide &amp; Settings'!$P$5="Total Shares",('User Guide &amp; Settings'!$Q$5*R15),'User Guide &amp; Settings'!$Q$5)),'User Guide &amp; Settings'!$R$5)))</f>
        <v>20</v>
      </c>
      <c r="AA15">
        <f>IF(IF('User Guide &amp; Settings'!$S$6="Amount",'User Guide &amp; Settings'!$T$6*Y15,IF('User Guide &amp; Settings'!$S$6="Total Shares",'User Guide &amp; Settings'!$T$6*R15,'User Guide &amp; Settings'!$T$6))=0,MAX(IF('User Guide &amp; Settings'!$P$6="amount",(Y15*'User Guide &amp; Settings'!$Q$6),IF('User Guide &amp; Settings'!$P$6="Total Shares",('User Guide &amp; Settings'!$Q$6*R15),'User Guide &amp; Settings'!$Q$6)),'User Guide &amp; Settings'!$R$6),MIN(IF('User Guide &amp; Settings'!$S$6="Amount",'User Guide &amp; Settings'!$T$6*Y15,IF('User Guide &amp; Settings'!$S$6="Total Shares",'User Guide &amp; Settings'!$T$6*R15,'User Guide &amp; Settings'!$T$6)),MAX(IF('User Guide &amp; Settings'!$P$6="amount",(Y15*'User Guide &amp; Settings'!$Q$6),IF('User Guide &amp; Settings'!$P$6="Total Shares",('User Guide &amp; Settings'!$Q$6*R15),'User Guide &amp; Settings'!$Q$6)),'User Guide &amp; Settings'!$R$6)))</f>
        <v>2.4</v>
      </c>
      <c r="AB15">
        <f>IF(IF('User Guide &amp; Settings'!$S$7="Amount",'User Guide &amp; Settings'!$T$7*Y15,IF('User Guide &amp; Settings'!$S$7="Total Shares",'User Guide &amp; Settings'!$T$7*R15,'User Guide &amp; Settings'!$T$7))=0,MAX(IF('User Guide &amp; Settings'!$P$7="amount",(Y15*'User Guide &amp; Settings'!$Q$7),IF('User Guide &amp; Settings'!$P$7="Total Shares",('User Guide &amp; Settings'!$Q$7*R15),'User Guide &amp; Settings'!$Q$7)),'User Guide &amp; Settings'!$R$7),MIN(IF('User Guide &amp; Settings'!$S$7="Amount",'User Guide &amp; Settings'!$T$7*Y15,IF('User Guide &amp; Settings'!$S$7="Total Shares",'User Guide &amp; Settings'!$T$7*R15,'User Guide &amp; Settings'!$T$7)),MAX(IF('User Guide &amp; Settings'!$P$7="amount",(Y15*'User Guide &amp; Settings'!$Q$7),IF('User Guide &amp; Settings'!$P$7="Total Shares",('User Guide &amp; Settings'!$Q$7*R15),'User Guide &amp; Settings'!$Q$7)),'User Guide &amp; Settings'!$R$7)))</f>
        <v>5.0624999999999956</v>
      </c>
      <c r="AC15">
        <f>IF(IF('User Guide &amp; Settings'!$S$8="Amount",'User Guide &amp; Settings'!$T$8*Y15,IF('User Guide &amp; Settings'!$S$8="Total Shares",'User Guide &amp; Settings'!$T$8*R15,'User Guide &amp; Settings'!$T$8))=0,MAX(IF('User Guide &amp; Settings'!$P$8="amount",(Y15*'User Guide &amp; Settings'!$Q$8),IF('User Guide &amp; Settings'!$P$8="Total Shares",('User Guide &amp; Settings'!$Q$8*R15),'User Guide &amp; Settings'!$Q$8)),'User Guide &amp; Settings'!$R$8),MIN(IF('User Guide &amp; Settings'!$S$8="Amount",'User Guide &amp; Settings'!$T$8*Y15,IF('User Guide &amp; Settings'!$S$8="Total Shares",'User Guide &amp; Settings'!$T$8*R15,'User Guide &amp; Settings'!$T$8)),MAX(IF('User Guide &amp; Settings'!$P$8="amount",(Y15*'User Guide &amp; Settings'!$Q$8),IF('User Guide &amp; Settings'!$P$8="Total Shares",('User Guide &amp; Settings'!$Q$8*R15),'User Guide &amp; Settings'!$Q$8)),'User Guide &amp; Settings'!$R$8)))</f>
        <v>20.249999999999982</v>
      </c>
      <c r="AD15">
        <f t="shared" si="15"/>
        <v>3327.2874999999967</v>
      </c>
      <c r="AE15">
        <f t="shared" si="16"/>
        <v>2.2181916666666663</v>
      </c>
      <c r="AF15">
        <f t="shared" si="7"/>
        <v>2800</v>
      </c>
      <c r="AG15">
        <f>IF(IF('User Guide &amp; Settings'!$S$5="Amount",'User Guide &amp; Settings'!$T$5*AF15,IF('User Guide &amp; Settings'!$S$5="Total Shares",'User Guide &amp; Settings'!$T$5*I15,'User Guide &amp; Settings'!$T$5))=0,MAX(IF('User Guide &amp; Settings'!$P$5="amount",(AF15*'User Guide &amp; Settings'!$Q$5),IF('User Guide &amp; Settings'!$P$5="Total Shares",('User Guide &amp; Settings'!$Q$5*I15),'User Guide &amp; Settings'!$Q$5)),'User Guide &amp; Settings'!$R$5),MIN(IF('User Guide &amp; Settings'!$S$5="Amount",'User Guide &amp; Settings'!$T$5*AF15,IF('User Guide &amp; Settings'!$S$5="Total Shares",'User Guide &amp; Settings'!$T$5*I15,'User Guide &amp; Settings'!$T$5)),MAX(IF('User Guide &amp; Settings'!$P$5="amount",(AF15*'User Guide &amp; Settings'!$Q$5),IF('User Guide &amp; Settings'!$P$5="Total Shares",('User Guide &amp; Settings'!$Q$5*I15),'User Guide &amp; Settings'!$Q$5)),'User Guide &amp; Settings'!$R$5)))</f>
        <v>20</v>
      </c>
      <c r="AH15">
        <f>IF(IF('User Guide &amp; Settings'!$S$6="Amount",'User Guide &amp; Settings'!$T$6*AF15,IF('User Guide &amp; Settings'!$S$6="Total Shares",'User Guide &amp; Settings'!$T$6*I15,'User Guide &amp; Settings'!$T$6))=0,MAX(IF('User Guide &amp; Settings'!$P$6="amount",(AF15*'User Guide &amp; Settings'!$Q$6),IF('User Guide &amp; Settings'!$P$6="Total Shares",('User Guide &amp; Settings'!$Q$6*I15),'User Guide &amp; Settings'!$Q$6)),'User Guide &amp; Settings'!$R$6),MIN(IF('User Guide &amp; Settings'!$S$6="Amount",'User Guide &amp; Settings'!$T$6*AF15,IF('User Guide &amp; Settings'!$S$6="Total Shares",'User Guide &amp; Settings'!$T$6*I15,'User Guide &amp; Settings'!$T$6)),MAX(IF('User Guide &amp; Settings'!$P$6="amount",(AF15*'User Guide &amp; Settings'!$Q$6),IF('User Guide &amp; Settings'!$P$6="Total Shares",('User Guide &amp; Settings'!$Q$6*I15),'User Guide &amp; Settings'!$Q$6)),'User Guide &amp; Settings'!$R$6)))</f>
        <v>2.4</v>
      </c>
      <c r="AI15">
        <f>IF(IF('User Guide &amp; Settings'!$S$7="Amount",'User Guide &amp; Settings'!$T$7*AF15,IF('User Guide &amp; Settings'!$S$7="Total Shares",'User Guide &amp; Settings'!$T$7*I15,'User Guide &amp; Settings'!$T$7))=0,MAX(IF('User Guide &amp; Settings'!$P$7="amount",(AF15*'User Guide &amp; Settings'!$Q$7),IF('User Guide &amp; Settings'!$P$7="Total Shares",('User Guide &amp; Settings'!$Q$7*I15),'User Guide &amp; Settings'!$Q$7)),'User Guide &amp; Settings'!$R$7),MIN(IF('User Guide &amp; Settings'!$S$7="Amount",'User Guide &amp; Settings'!$T$7*AF15,IF('User Guide &amp; Settings'!$S$7="Total Shares",'User Guide &amp; Settings'!$T$7*I15,'User Guide &amp; Settings'!$T$7)),MAX(IF('User Guide &amp; Settings'!$P$7="amount",(AF15*'User Guide &amp; Settings'!$Q$7),IF('User Guide &amp; Settings'!$P$7="Total Shares",('User Guide &amp; Settings'!$Q$7*I15),'User Guide &amp; Settings'!$Q$7)),'User Guide &amp; Settings'!$R$7)))</f>
        <v>4.2</v>
      </c>
      <c r="AJ15">
        <f>IF(IF('User Guide &amp; Settings'!$S$8="Amount",'User Guide &amp; Settings'!$T$8*AF15,IF('User Guide &amp; Settings'!$S$8="Total Shares",'User Guide &amp; Settings'!$T$8*I15,'User Guide &amp; Settings'!$T$8))=0,MAX(IF('User Guide &amp; Settings'!$P$8="amount",(AF15*'User Guide &amp; Settings'!$Q$8),IF('User Guide &amp; Settings'!$P$8="Total Shares",('User Guide &amp; Settings'!$Q$8*I15),'User Guide &amp; Settings'!$Q$8)),'User Guide &amp; Settings'!$R$8),MIN(IF('User Guide &amp; Settings'!$S$8="Amount",'User Guide &amp; Settings'!$T$8*AF15,IF('User Guide &amp; Settings'!$S$8="Total Shares",'User Guide &amp; Settings'!$T$8*I15,'User Guide &amp; Settings'!$T$8)),MAX(IF('User Guide &amp; Settings'!$P$8="amount",(AF15*'User Guide &amp; Settings'!$Q$8),IF('User Guide &amp; Settings'!$P$8="Total Shares",('User Guide &amp; Settings'!$Q$8*I15),'User Guide &amp; Settings'!$Q$8)),'User Guide &amp; Settings'!$R$8)))</f>
        <v>16.8</v>
      </c>
      <c r="AK15">
        <f t="shared" si="8"/>
        <v>2.7565999999999997</v>
      </c>
      <c r="AL15">
        <f t="shared" si="9"/>
        <v>5000</v>
      </c>
      <c r="AM15" s="414">
        <f t="shared" si="17"/>
        <v>2468.6083333333336</v>
      </c>
      <c r="AN15" s="584"/>
      <c r="AO15" s="584"/>
      <c r="AP15" s="582"/>
      <c r="AR15" s="587"/>
      <c r="AT15" s="598"/>
      <c r="AU15" s="590"/>
      <c r="AX15">
        <f t="shared" si="10"/>
        <v>287.99166666666633</v>
      </c>
      <c r="AY15">
        <f t="shared" si="11"/>
        <v>-250.41666666666742</v>
      </c>
      <c r="AZ15" s="310"/>
      <c r="BA15">
        <f t="shared" si="12"/>
        <v>-3</v>
      </c>
      <c r="BB15" t="str">
        <f>C13</f>
        <v>IRC</v>
      </c>
    </row>
    <row r="16" spans="1:57" ht="15.95" customHeight="1" x14ac:dyDescent="0.25">
      <c r="A16" s="444"/>
      <c r="B16" s="591">
        <v>43392</v>
      </c>
      <c r="C16" s="592" t="s">
        <v>53</v>
      </c>
      <c r="D16" s="416">
        <v>16.88</v>
      </c>
      <c r="E16" s="593">
        <v>16.420000000000002</v>
      </c>
      <c r="F16" s="594">
        <v>19.399999999999999</v>
      </c>
      <c r="G16" s="595">
        <f>IFERROR(IF($G$11="Ave. Price",D74,G74),"")</f>
        <v>17.163564090909095</v>
      </c>
      <c r="H16" s="504"/>
      <c r="I16" s="499">
        <f t="shared" si="18"/>
        <v>400</v>
      </c>
      <c r="J16">
        <f>IF(E16=0,"",E16)</f>
        <v>16.420000000000002</v>
      </c>
      <c r="K16">
        <f>IF(F16=0,"",F16)</f>
        <v>19.399999999999999</v>
      </c>
      <c r="L16">
        <f t="shared" si="2"/>
        <v>19.399999999999999</v>
      </c>
      <c r="M16">
        <f t="shared" si="3"/>
        <v>16.420000000000002</v>
      </c>
      <c r="N16">
        <f>IFERROR(IF(AND(D16&gt;='User Guide &amp; Settings'!$Z$5,D16&lt;='User Guide &amp; Settings'!$AA$5),'User Guide &amp; Settings'!$AC$5,IF(AND(D16&gt;='User Guide &amp; Settings'!$Z$4,D16&lt;='User Guide &amp; Settings'!$AA$4),'User Guide &amp; Settings'!$AC$4,IF(AND(D16&gt;='User Guide &amp; Settings'!$Z$6,D16&lt;='User Guide &amp; Settings'!$AA$7),'User Guide &amp; Settings'!$AC$6,IF(AND(D16&gt;='User Guide &amp; Settings'!$Z$8,D16&lt;='User Guide &amp; Settings'!$AA$8),'User Guide &amp; Settings'!$AC$8,IF(AND(D16&gt;='User Guide &amp; Settings'!$Z$9,D16&lt;='User Guide &amp; Settings'!$AA$23),'User Guide &amp; Settings'!$AC$23,IF(AND(D16&gt;='User Guide &amp; Settings'!$Z$24,D16&lt;='User Guide &amp; Settings'!$AA$27),'User Guide &amp; Settings'!$AC$27,IF(D16&gt;='User Guide &amp; Settings'!$Z$28,'User Guide &amp; Settings'!$AC$28,0))))))),"")</f>
        <v>100</v>
      </c>
      <c r="O16">
        <f>$BD$4/D16</f>
        <v>710.90047393364932</v>
      </c>
      <c r="P16">
        <f t="shared" si="4"/>
        <v>700</v>
      </c>
      <c r="Q16">
        <f>$BE$4/(X16-AE16)</f>
        <v>427.52704108534954</v>
      </c>
      <c r="R16">
        <f>$BE$4/(D16-M16)</f>
        <v>652.17391304348212</v>
      </c>
      <c r="S16">
        <f t="shared" si="5"/>
        <v>11008.695652173978</v>
      </c>
      <c r="T16">
        <f>IF(IF('User Guide &amp; Settings'!$S$5="Amount",'User Guide &amp; Settings'!$T$5*S16,IF('User Guide &amp; Settings'!$S$5="Total Shares",'User Guide &amp; Settings'!$T$5*R16,'User Guide &amp; Settings'!$T$5))=0,MAX(IF('User Guide &amp; Settings'!$P$5="amount",(S16*'User Guide &amp; Settings'!$Q$5),IF('User Guide &amp; Settings'!$P$5="Total Shares",('User Guide &amp; Settings'!$Q$5*R16),'User Guide &amp; Settings'!$Q$5)),'User Guide &amp; Settings'!$R$5),MIN(IF('User Guide &amp; Settings'!$S$5="Amount",'User Guide &amp; Settings'!$T$5*S16,IF('User Guide &amp; Settings'!$S$5="Total Shares",'User Guide &amp; Settings'!$T$5*R16,'User Guide &amp; Settings'!$T$5)),MAX(IF('User Guide &amp; Settings'!$P$5="amount",(S16*'User Guide &amp; Settings'!$Q$5),IF('User Guide &amp; Settings'!$P$5="Total Shares",('User Guide &amp; Settings'!$Q$5*R16),'User Guide &amp; Settings'!$Q$5)),'User Guide &amp; Settings'!$R$5)))</f>
        <v>27.521739130434945</v>
      </c>
      <c r="U16">
        <f>IF(IF('User Guide &amp; Settings'!$S$6="Amount",'User Guide &amp; Settings'!$T$6*S16,IF('User Guide &amp; Settings'!$S$6="Total Shares",'User Guide &amp; Settings'!$T$6*R16,'User Guide &amp; Settings'!$T$6))=0,MAX(IF('User Guide &amp; Settings'!$P$6="amount",(S16*'User Guide &amp; Settings'!$Q$6),IF('User Guide &amp; Settings'!$P$6="Total Shares",('User Guide &amp; Settings'!$Q$6*R16),'User Guide &amp; Settings'!$Q$6)),'User Guide &amp; Settings'!$R$6),MIN(IF('User Guide &amp; Settings'!$S$6="Amount",'User Guide &amp; Settings'!$T$6*S16,IF('User Guide &amp; Settings'!$S$6="Total Shares",'User Guide &amp; Settings'!$T$6*R16,'User Guide &amp; Settings'!$T$6)),MAX(IF('User Guide &amp; Settings'!$P$6="amount",(S16*'User Guide &amp; Settings'!$Q$6),IF('User Guide &amp; Settings'!$P$6="Total Shares",('User Guide &amp; Settings'!$Q$6*R16),'User Guide &amp; Settings'!$Q$6)),'User Guide &amp; Settings'!$R$6)))</f>
        <v>3.3026086956521929</v>
      </c>
      <c r="V16">
        <f>IF(IF('User Guide &amp; Settings'!$S$7="Amount",'User Guide &amp; Settings'!$T$7*S16,IF('User Guide &amp; Settings'!$S$7="Total Shares",'User Guide &amp; Settings'!$T$7*R16,'User Guide &amp; Settings'!$T$7))=0,MAX(IF('User Guide &amp; Settings'!$P$7="amount",(S16*'User Guide &amp; Settings'!$Q$7),IF('User Guide &amp; Settings'!$P$7="Total Shares",('User Guide &amp; Settings'!$Q$7*R16),'User Guide &amp; Settings'!$Q$7)),'User Guide &amp; Settings'!$R$7),MIN(IF('User Guide &amp; Settings'!$S$7="Amount",'User Guide &amp; Settings'!$T$7*S16,IF('User Guide &amp; Settings'!$S$7="Total Shares",'User Guide &amp; Settings'!$T$7*R16,'User Guide &amp; Settings'!$T$7)),MAX(IF('User Guide &amp; Settings'!$P$7="amount",(S16*'User Guide &amp; Settings'!$Q$7),IF('User Guide &amp; Settings'!$P$7="Total Shares",('User Guide &amp; Settings'!$Q$7*R16),'User Guide &amp; Settings'!$Q$7)),'User Guide &amp; Settings'!$R$7)))</f>
        <v>16.513043478260968</v>
      </c>
      <c r="W16">
        <f>S16+SUM(T16:V16)</f>
        <v>11056.033043478326</v>
      </c>
      <c r="X16">
        <f>W16/R16</f>
        <v>16.952584000000002</v>
      </c>
      <c r="Y16">
        <f t="shared" si="6"/>
        <v>10708.695652173978</v>
      </c>
      <c r="Z16">
        <f>IF(IF('User Guide &amp; Settings'!$S$5="Amount",'User Guide &amp; Settings'!$T$5*Y16,IF('User Guide &amp; Settings'!$S$5="Total Shares",'User Guide &amp; Settings'!$T$5*R16,'User Guide &amp; Settings'!$T$5))=0,MAX(IF('User Guide &amp; Settings'!$P$5="amount",(Y16*'User Guide &amp; Settings'!$Q$5),IF('User Guide &amp; Settings'!$P$5="Total Shares",('User Guide &amp; Settings'!$Q$5*R16),'User Guide &amp; Settings'!$Q$5)),'User Guide &amp; Settings'!$R$5),MIN(IF('User Guide &amp; Settings'!$S$5="Amount",'User Guide &amp; Settings'!$T$5*Y16,IF('User Guide &amp; Settings'!$S$5="Total Shares",'User Guide &amp; Settings'!$T$5*R16,'User Guide &amp; Settings'!$T$5)),MAX(IF('User Guide &amp; Settings'!$P$5="amount",(Y16*'User Guide &amp; Settings'!$Q$5),IF('User Guide &amp; Settings'!$P$5="Total Shares",('User Guide &amp; Settings'!$Q$5*R16),'User Guide &amp; Settings'!$Q$5)),'User Guide &amp; Settings'!$R$5)))</f>
        <v>26.771739130434945</v>
      </c>
      <c r="AA16">
        <f>IF(IF('User Guide &amp; Settings'!$S$6="Amount",'User Guide &amp; Settings'!$T$6*Y16,IF('User Guide &amp; Settings'!$S$6="Total Shares",'User Guide &amp; Settings'!$T$6*R16,'User Guide &amp; Settings'!$T$6))=0,MAX(IF('User Guide &amp; Settings'!$P$6="amount",(Y16*'User Guide &amp; Settings'!$Q$6),IF('User Guide &amp; Settings'!$P$6="Total Shares",('User Guide &amp; Settings'!$Q$6*R16),'User Guide &amp; Settings'!$Q$6)),'User Guide &amp; Settings'!$R$6),MIN(IF('User Guide &amp; Settings'!$S$6="Amount",'User Guide &amp; Settings'!$T$6*Y16,IF('User Guide &amp; Settings'!$S$6="Total Shares",'User Guide &amp; Settings'!$T$6*R16,'User Guide &amp; Settings'!$T$6)),MAX(IF('User Guide &amp; Settings'!$P$6="amount",(Y16*'User Guide &amp; Settings'!$Q$6),IF('User Guide &amp; Settings'!$P$6="Total Shares",('User Guide &amp; Settings'!$Q$6*R16),'User Guide &amp; Settings'!$Q$6)),'User Guide &amp; Settings'!$R$6)))</f>
        <v>3.2126086956521931</v>
      </c>
      <c r="AB16">
        <f>IF(IF('User Guide &amp; Settings'!$S$7="Amount",'User Guide &amp; Settings'!$T$7*Y16,IF('User Guide &amp; Settings'!$S$7="Total Shares",'User Guide &amp; Settings'!$T$7*R16,'User Guide &amp; Settings'!$T$7))=0,MAX(IF('User Guide &amp; Settings'!$P$7="amount",(Y16*'User Guide &amp; Settings'!$Q$7),IF('User Guide &amp; Settings'!$P$7="Total Shares",('User Guide &amp; Settings'!$Q$7*R16),'User Guide &amp; Settings'!$Q$7)),'User Guide &amp; Settings'!$R$7),MIN(IF('User Guide &amp; Settings'!$S$7="Amount",'User Guide &amp; Settings'!$T$7*Y16,IF('User Guide &amp; Settings'!$S$7="Total Shares",'User Guide &amp; Settings'!$T$7*R16,'User Guide &amp; Settings'!$T$7)),MAX(IF('User Guide &amp; Settings'!$P$7="amount",(Y16*'User Guide &amp; Settings'!$Q$7),IF('User Guide &amp; Settings'!$P$7="Total Shares",('User Guide &amp; Settings'!$Q$7*R16),'User Guide &amp; Settings'!$Q$7)),'User Guide &amp; Settings'!$R$7)))</f>
        <v>16.063043478260965</v>
      </c>
      <c r="AC16">
        <f>IF(IF('User Guide &amp; Settings'!$S$8="Amount",'User Guide &amp; Settings'!$T$8*Y16,IF('User Guide &amp; Settings'!$S$8="Total Shares",'User Guide &amp; Settings'!$T$8*R16,'User Guide &amp; Settings'!$T$8))=0,MAX(IF('User Guide &amp; Settings'!$P$8="amount",(Y16*'User Guide &amp; Settings'!$Q$8),IF('User Guide &amp; Settings'!$P$8="Total Shares",('User Guide &amp; Settings'!$Q$8*R16),'User Guide &amp; Settings'!$Q$8)),'User Guide &amp; Settings'!$R$8),MIN(IF('User Guide &amp; Settings'!$S$8="Amount",'User Guide &amp; Settings'!$T$8*Y16,IF('User Guide &amp; Settings'!$S$8="Total Shares",'User Guide &amp; Settings'!$T$8*R16,'User Guide &amp; Settings'!$T$8)),MAX(IF('User Guide &amp; Settings'!$P$8="amount",(Y16*'User Guide &amp; Settings'!$Q$8),IF('User Guide &amp; Settings'!$P$8="Total Shares",('User Guide &amp; Settings'!$Q$8*R16),'User Guide &amp; Settings'!$Q$8)),'User Guide &amp; Settings'!$R$8)))</f>
        <v>64.252173913043862</v>
      </c>
      <c r="AD16">
        <f>Y16-SUM(Z16:AC16)</f>
        <v>10598.396086956585</v>
      </c>
      <c r="AE16">
        <f>AD16/R16</f>
        <v>16.250874000000003</v>
      </c>
      <c r="AF16">
        <f t="shared" si="7"/>
        <v>7759.9999999999991</v>
      </c>
      <c r="AG16">
        <f>IF(IF('User Guide &amp; Settings'!$S$5="Amount",'User Guide &amp; Settings'!$T$5*AF16,IF('User Guide &amp; Settings'!$S$5="Total Shares",'User Guide &amp; Settings'!$T$5*I16,'User Guide &amp; Settings'!$T$5))=0,MAX(IF('User Guide &amp; Settings'!$P$5="amount",(AF16*'User Guide &amp; Settings'!$Q$5),IF('User Guide &amp; Settings'!$P$5="Total Shares",('User Guide &amp; Settings'!$Q$5*I16),'User Guide &amp; Settings'!$Q$5)),'User Guide &amp; Settings'!$R$5),MIN(IF('User Guide &amp; Settings'!$S$5="Amount",'User Guide &amp; Settings'!$T$5*AF16,IF('User Guide &amp; Settings'!$S$5="Total Shares",'User Guide &amp; Settings'!$T$5*I16,'User Guide &amp; Settings'!$T$5)),MAX(IF('User Guide &amp; Settings'!$P$5="amount",(AF16*'User Guide &amp; Settings'!$Q$5),IF('User Guide &amp; Settings'!$P$5="Total Shares",('User Guide &amp; Settings'!$Q$5*I16),'User Guide &amp; Settings'!$Q$5)),'User Guide &amp; Settings'!$R$5)))</f>
        <v>20</v>
      </c>
      <c r="AH16">
        <f>IF(IF('User Guide &amp; Settings'!$S$6="Amount",'User Guide &amp; Settings'!$T$6*AF16,IF('User Guide &amp; Settings'!$S$6="Total Shares",'User Guide &amp; Settings'!$T$6*I16,'User Guide &amp; Settings'!$T$6))=0,MAX(IF('User Guide &amp; Settings'!$P$6="amount",(AF16*'User Guide &amp; Settings'!$Q$6),IF('User Guide &amp; Settings'!$P$6="Total Shares",('User Guide &amp; Settings'!$Q$6*I16),'User Guide &amp; Settings'!$Q$6)),'User Guide &amp; Settings'!$R$6),MIN(IF('User Guide &amp; Settings'!$S$6="Amount",'User Guide &amp; Settings'!$T$6*AF16,IF('User Guide &amp; Settings'!$S$6="Total Shares",'User Guide &amp; Settings'!$T$6*I16,'User Guide &amp; Settings'!$T$6)),MAX(IF('User Guide &amp; Settings'!$P$6="amount",(AF16*'User Guide &amp; Settings'!$Q$6),IF('User Guide &amp; Settings'!$P$6="Total Shares",('User Guide &amp; Settings'!$Q$6*I16),'User Guide &amp; Settings'!$Q$6)),'User Guide &amp; Settings'!$R$6)))</f>
        <v>2.4</v>
      </c>
      <c r="AI16">
        <f>IF(IF('User Guide &amp; Settings'!$S$7="Amount",'User Guide &amp; Settings'!$T$7*AF16,IF('User Guide &amp; Settings'!$S$7="Total Shares",'User Guide &amp; Settings'!$T$7*I16,'User Guide &amp; Settings'!$T$7))=0,MAX(IF('User Guide &amp; Settings'!$P$7="amount",(AF16*'User Guide &amp; Settings'!$Q$7),IF('User Guide &amp; Settings'!$P$7="Total Shares",('User Guide &amp; Settings'!$Q$7*I16),'User Guide &amp; Settings'!$Q$7)),'User Guide &amp; Settings'!$R$7),MIN(IF('User Guide &amp; Settings'!$S$7="Amount",'User Guide &amp; Settings'!$T$7*AF16,IF('User Guide &amp; Settings'!$S$7="Total Shares",'User Guide &amp; Settings'!$T$7*I16,'User Guide &amp; Settings'!$T$7)),MAX(IF('User Guide &amp; Settings'!$P$7="amount",(AF16*'User Guide &amp; Settings'!$Q$7),IF('User Guide &amp; Settings'!$P$7="Total Shares",('User Guide &amp; Settings'!$Q$7*I16),'User Guide &amp; Settings'!$Q$7)),'User Guide &amp; Settings'!$R$7)))</f>
        <v>11.639999999999999</v>
      </c>
      <c r="AJ16">
        <f>IF(IF('User Guide &amp; Settings'!$S$8="Amount",'User Guide &amp; Settings'!$T$8*AF16,IF('User Guide &amp; Settings'!$S$8="Total Shares",'User Guide &amp; Settings'!$T$8*I16,'User Guide &amp; Settings'!$T$8))=0,MAX(IF('User Guide &amp; Settings'!$P$8="amount",(AF16*'User Guide &amp; Settings'!$Q$8),IF('User Guide &amp; Settings'!$P$8="Total Shares",('User Guide &amp; Settings'!$Q$8*I16),'User Guide &amp; Settings'!$Q$8)),'User Guide &amp; Settings'!$R$8),MIN(IF('User Guide &amp; Settings'!$S$8="Amount",'User Guide &amp; Settings'!$T$8*AF16,IF('User Guide &amp; Settings'!$S$8="Total Shares",'User Guide &amp; Settings'!$T$8*I16,'User Guide &amp; Settings'!$T$8)),MAX(IF('User Guide &amp; Settings'!$P$8="amount",(AF16*'User Guide &amp; Settings'!$Q$8),IF('User Guide &amp; Settings'!$P$8="Total Shares",('User Guide &amp; Settings'!$Q$8*I16),'User Guide &amp; Settings'!$Q$8)),'User Guide &amp; Settings'!$R$8)))</f>
        <v>46.559999999999995</v>
      </c>
      <c r="AK16">
        <f t="shared" si="8"/>
        <v>19.198499999999996</v>
      </c>
      <c r="AL16">
        <f t="shared" si="9"/>
        <v>700</v>
      </c>
      <c r="AM16" s="414">
        <f t="shared" si="17"/>
        <v>6781.0336000000007</v>
      </c>
      <c r="AN16" s="584" t="str">
        <f>IFERROR(IF(E16="","",(TEXT(AQ16/$D$7,"0.00"))&amp;"R"),"")</f>
        <v>-1.01R</v>
      </c>
      <c r="AO16" s="584" t="str">
        <f>IFERROR(IF(F16="","",(TEXT(AS16/$D$7,"0.00"))&amp;"R"),"")</f>
        <v>2.23R</v>
      </c>
      <c r="AP16" s="582">
        <f>IFERROR((AS16/$D$7)/(-AQ16/$D$7),"")</f>
        <v>2.2134434978130981</v>
      </c>
      <c r="AQ16">
        <f>IF(E16="","",SUM(AY16:AY18))</f>
        <v>-1008.7582999999995</v>
      </c>
      <c r="AR16" s="586" t="str">
        <f t="shared" ref="AR16" si="19">IF(AQ16=0,"",TEXT(AQ16,"0,00.00")&amp;" ("&amp;TEXT(AV16,"0.00%")&amp;")")</f>
        <v>-1,008.76 (-5.34%)</v>
      </c>
      <c r="AS16">
        <f>SUM(AX16:AX18)</f>
        <v>2232.8294999999935</v>
      </c>
      <c r="AT16" s="597" t="str">
        <f t="shared" ref="AT16" si="20">IF(AS16=0,"",TEXT(AS16,"0,00.00")&amp;" ("&amp;TEXT(AW16,"0.00%")&amp;")")</f>
        <v>2,232.83 (11.83%)</v>
      </c>
      <c r="AU16" s="590" t="s">
        <v>378</v>
      </c>
      <c r="AV16">
        <f>IFERROR(AQ16/SUM(AM16:AM18),"")</f>
        <v>-5.3430219687630537E-2</v>
      </c>
      <c r="AW16">
        <f>IFERROR(AS16/SUM(AM16:AM18),"")</f>
        <v>0.11826477235431118</v>
      </c>
      <c r="AX16">
        <f t="shared" si="10"/>
        <v>898.36639999999716</v>
      </c>
      <c r="AY16">
        <f t="shared" si="11"/>
        <v>-280.68399999999929</v>
      </c>
      <c r="AZ16" s="310"/>
      <c r="BA16">
        <f t="shared" si="12"/>
        <v>-2</v>
      </c>
      <c r="BB16" t="str">
        <f>C16</f>
        <v>PXP</v>
      </c>
    </row>
    <row r="17" spans="1:54" ht="15.95" customHeight="1" x14ac:dyDescent="0.25">
      <c r="A17" s="444"/>
      <c r="B17" s="591"/>
      <c r="C17" s="592"/>
      <c r="D17" s="416">
        <v>17.170000000000002</v>
      </c>
      <c r="E17" s="593"/>
      <c r="F17" s="594"/>
      <c r="G17" s="595"/>
      <c r="H17" s="502"/>
      <c r="I17" s="499">
        <f t="shared" si="18"/>
        <v>400</v>
      </c>
      <c r="J17">
        <f>IF(E16=0,"",E16)</f>
        <v>16.420000000000002</v>
      </c>
      <c r="K17">
        <f>IF(F16=0,"",F16)</f>
        <v>19.399999999999999</v>
      </c>
      <c r="L17">
        <f t="shared" si="2"/>
        <v>19.399999999999999</v>
      </c>
      <c r="M17">
        <f t="shared" si="3"/>
        <v>16.420000000000002</v>
      </c>
      <c r="N17">
        <f>IFERROR(IF(AND(D17&gt;='User Guide &amp; Settings'!$Z$5,D17&lt;='User Guide &amp; Settings'!$AA$5),'User Guide &amp; Settings'!$AC$5,IF(AND(D17&gt;='User Guide &amp; Settings'!$Z$4,D17&lt;='User Guide &amp; Settings'!$AA$4),'User Guide &amp; Settings'!$AC$4,IF(AND(D17&gt;='User Guide &amp; Settings'!$Z$6,D17&lt;='User Guide &amp; Settings'!$AA$7),'User Guide &amp; Settings'!$AC$6,IF(AND(D17&gt;='User Guide &amp; Settings'!$Z$8,D17&lt;='User Guide &amp; Settings'!$AA$8),'User Guide &amp; Settings'!$AC$8,IF(AND(D17&gt;='User Guide &amp; Settings'!$Z$9,D17&lt;='User Guide &amp; Settings'!$AA$23),'User Guide &amp; Settings'!$AC$23,IF(AND(D17&gt;='User Guide &amp; Settings'!$Z$24,D17&lt;='User Guide &amp; Settings'!$AA$27),'User Guide &amp; Settings'!$AC$27,IF(D17&gt;='User Guide &amp; Settings'!$Z$28,'User Guide &amp; Settings'!$AC$28,0))))))),"")</f>
        <v>100</v>
      </c>
      <c r="O17">
        <f>$BD$5/D17</f>
        <v>931.85789167151995</v>
      </c>
      <c r="P17">
        <f t="shared" si="4"/>
        <v>900</v>
      </c>
      <c r="Q17">
        <f>$BE$5/(X17-AE17)</f>
        <v>402.83718227476095</v>
      </c>
      <c r="R17">
        <f>$BE$5/(D17-M17)</f>
        <v>533.33333333333337</v>
      </c>
      <c r="S17">
        <f t="shared" si="5"/>
        <v>9157.3333333333358</v>
      </c>
      <c r="T17">
        <f>IF(IF('User Guide &amp; Settings'!$S$5="Amount",'User Guide &amp; Settings'!$T$5*S17,IF('User Guide &amp; Settings'!$S$5="Total Shares",'User Guide &amp; Settings'!$T$5*R17,'User Guide &amp; Settings'!$T$5))=0,MAX(IF('User Guide &amp; Settings'!$P$5="amount",(S17*'User Guide &amp; Settings'!$Q$5),IF('User Guide &amp; Settings'!$P$5="Total Shares",('User Guide &amp; Settings'!$Q$5*R17),'User Guide &amp; Settings'!$Q$5)),'User Guide &amp; Settings'!$R$5),MIN(IF('User Guide &amp; Settings'!$S$5="Amount",'User Guide &amp; Settings'!$T$5*S17,IF('User Guide &amp; Settings'!$S$5="Total Shares",'User Guide &amp; Settings'!$T$5*R17,'User Guide &amp; Settings'!$T$5)),MAX(IF('User Guide &amp; Settings'!$P$5="amount",(S17*'User Guide &amp; Settings'!$Q$5),IF('User Guide &amp; Settings'!$P$5="Total Shares",('User Guide &amp; Settings'!$Q$5*R17),'User Guide &amp; Settings'!$Q$5)),'User Guide &amp; Settings'!$R$5)))</f>
        <v>22.893333333333342</v>
      </c>
      <c r="U17">
        <f>IF(IF('User Guide &amp; Settings'!$S$6="Amount",'User Guide &amp; Settings'!$T$6*S17,IF('User Guide &amp; Settings'!$S$6="Total Shares",'User Guide &amp; Settings'!$T$6*R17,'User Guide &amp; Settings'!$T$6))=0,MAX(IF('User Guide &amp; Settings'!$P$6="amount",(S17*'User Guide &amp; Settings'!$Q$6),IF('User Guide &amp; Settings'!$P$6="Total Shares",('User Guide &amp; Settings'!$Q$6*R17),'User Guide &amp; Settings'!$Q$6)),'User Guide &amp; Settings'!$R$6),MIN(IF('User Guide &amp; Settings'!$S$6="Amount",'User Guide &amp; Settings'!$T$6*S17,IF('User Guide &amp; Settings'!$S$6="Total Shares",'User Guide &amp; Settings'!$T$6*R17,'User Guide &amp; Settings'!$T$6)),MAX(IF('User Guide &amp; Settings'!$P$6="amount",(S17*'User Guide &amp; Settings'!$Q$6),IF('User Guide &amp; Settings'!$P$6="Total Shares",('User Guide &amp; Settings'!$Q$6*R17),'User Guide &amp; Settings'!$Q$6)),'User Guide &amp; Settings'!$R$6)))</f>
        <v>2.7472000000000003</v>
      </c>
      <c r="V17">
        <f>IF(IF('User Guide &amp; Settings'!$S$7="Amount",'User Guide &amp; Settings'!$T$7*S17,IF('User Guide &amp; Settings'!$S$7="Total Shares",'User Guide &amp; Settings'!$T$7*R17,'User Guide &amp; Settings'!$T$7))=0,MAX(IF('User Guide &amp; Settings'!$P$7="amount",(S17*'User Guide &amp; Settings'!$Q$7),IF('User Guide &amp; Settings'!$P$7="Total Shares",('User Guide &amp; Settings'!$Q$7*R17),'User Guide &amp; Settings'!$Q$7)),'User Guide &amp; Settings'!$R$7),MIN(IF('User Guide &amp; Settings'!$S$7="Amount",'User Guide &amp; Settings'!$T$7*S17,IF('User Guide &amp; Settings'!$S$7="Total Shares",'User Guide &amp; Settings'!$T$7*R17,'User Guide &amp; Settings'!$T$7)),MAX(IF('User Guide &amp; Settings'!$P$7="amount",(S17*'User Guide &amp; Settings'!$Q$7),IF('User Guide &amp; Settings'!$P$7="Total Shares",('User Guide &amp; Settings'!$Q$7*R17),'User Guide &amp; Settings'!$Q$7)),'User Guide &amp; Settings'!$R$7)))</f>
        <v>13.736000000000004</v>
      </c>
      <c r="W17">
        <f t="shared" si="13"/>
        <v>9196.7098666666698</v>
      </c>
      <c r="X17">
        <f t="shared" si="14"/>
        <v>17.243831000000004</v>
      </c>
      <c r="Y17">
        <f t="shared" si="6"/>
        <v>8757.3333333333358</v>
      </c>
      <c r="Z17">
        <f>IF(IF('User Guide &amp; Settings'!$S$5="Amount",'User Guide &amp; Settings'!$T$5*Y17,IF('User Guide &amp; Settings'!$S$5="Total Shares",'User Guide &amp; Settings'!$T$5*R17,'User Guide &amp; Settings'!$T$5))=0,MAX(IF('User Guide &amp; Settings'!$P$5="amount",(Y17*'User Guide &amp; Settings'!$Q$5),IF('User Guide &amp; Settings'!$P$5="Total Shares",('User Guide &amp; Settings'!$Q$5*R17),'User Guide &amp; Settings'!$Q$5)),'User Guide &amp; Settings'!$R$5),MIN(IF('User Guide &amp; Settings'!$S$5="Amount",'User Guide &amp; Settings'!$T$5*Y17,IF('User Guide &amp; Settings'!$S$5="Total Shares",'User Guide &amp; Settings'!$T$5*R17,'User Guide &amp; Settings'!$T$5)),MAX(IF('User Guide &amp; Settings'!$P$5="amount",(Y17*'User Guide &amp; Settings'!$Q$5),IF('User Guide &amp; Settings'!$P$5="Total Shares",('User Guide &amp; Settings'!$Q$5*R17),'User Guide &amp; Settings'!$Q$5)),'User Guide &amp; Settings'!$R$5)))</f>
        <v>21.893333333333342</v>
      </c>
      <c r="AA17">
        <f>IF(IF('User Guide &amp; Settings'!$S$6="Amount",'User Guide &amp; Settings'!$T$6*Y17,IF('User Guide &amp; Settings'!$S$6="Total Shares",'User Guide &amp; Settings'!$T$6*R17,'User Guide &amp; Settings'!$T$6))=0,MAX(IF('User Guide &amp; Settings'!$P$6="amount",(Y17*'User Guide &amp; Settings'!$Q$6),IF('User Guide &amp; Settings'!$P$6="Total Shares",('User Guide &amp; Settings'!$Q$6*R17),'User Guide &amp; Settings'!$Q$6)),'User Guide &amp; Settings'!$R$6),MIN(IF('User Guide &amp; Settings'!$S$6="Amount",'User Guide &amp; Settings'!$T$6*Y17,IF('User Guide &amp; Settings'!$S$6="Total Shares",'User Guide &amp; Settings'!$T$6*R17,'User Guide &amp; Settings'!$T$6)),MAX(IF('User Guide &amp; Settings'!$P$6="amount",(Y17*'User Guide &amp; Settings'!$Q$6),IF('User Guide &amp; Settings'!$P$6="Total Shares",('User Guide &amp; Settings'!$Q$6*R17),'User Guide &amp; Settings'!$Q$6)),'User Guide &amp; Settings'!$R$6)))</f>
        <v>2.6272000000000006</v>
      </c>
      <c r="AB17">
        <f>IF(IF('User Guide &amp; Settings'!$S$7="Amount",'User Guide &amp; Settings'!$T$7*Y17,IF('User Guide &amp; Settings'!$S$7="Total Shares",'User Guide &amp; Settings'!$T$7*R17,'User Guide &amp; Settings'!$T$7))=0,MAX(IF('User Guide &amp; Settings'!$P$7="amount",(Y17*'User Guide &amp; Settings'!$Q$7),IF('User Guide &amp; Settings'!$P$7="Total Shares",('User Guide &amp; Settings'!$Q$7*R17),'User Guide &amp; Settings'!$Q$7)),'User Guide &amp; Settings'!$R$7),MIN(IF('User Guide &amp; Settings'!$S$7="Amount",'User Guide &amp; Settings'!$T$7*Y17,IF('User Guide &amp; Settings'!$S$7="Total Shares",'User Guide &amp; Settings'!$T$7*R17,'User Guide &amp; Settings'!$T$7)),MAX(IF('User Guide &amp; Settings'!$P$7="amount",(Y17*'User Guide &amp; Settings'!$Q$7),IF('User Guide &amp; Settings'!$P$7="Total Shares",('User Guide &amp; Settings'!$Q$7*R17),'User Guide &amp; Settings'!$Q$7)),'User Guide &amp; Settings'!$R$7)))</f>
        <v>13.136000000000005</v>
      </c>
      <c r="AC17">
        <f>IF(IF('User Guide &amp; Settings'!$S$8="Amount",'User Guide &amp; Settings'!$T$8*Y17,IF('User Guide &amp; Settings'!$S$8="Total Shares",'User Guide &amp; Settings'!$T$8*R17,'User Guide &amp; Settings'!$T$8))=0,MAX(IF('User Guide &amp; Settings'!$P$8="amount",(Y17*'User Guide &amp; Settings'!$Q$8),IF('User Guide &amp; Settings'!$P$8="Total Shares",('User Guide &amp; Settings'!$Q$8*R17),'User Guide &amp; Settings'!$Q$8)),'User Guide &amp; Settings'!$R$8),MIN(IF('User Guide &amp; Settings'!$S$8="Amount",'User Guide &amp; Settings'!$T$8*Y17,IF('User Guide &amp; Settings'!$S$8="Total Shares",'User Guide &amp; Settings'!$T$8*R17,'User Guide &amp; Settings'!$T$8)),MAX(IF('User Guide &amp; Settings'!$P$8="amount",(Y17*'User Guide &amp; Settings'!$Q$8),IF('User Guide &amp; Settings'!$P$8="Total Shares",('User Guide &amp; Settings'!$Q$8*R17),'User Guide &amp; Settings'!$Q$8)),'User Guide &amp; Settings'!$R$8)))</f>
        <v>52.544000000000018</v>
      </c>
      <c r="AD17">
        <f t="shared" si="15"/>
        <v>8667.132800000003</v>
      </c>
      <c r="AE17">
        <f t="shared" si="16"/>
        <v>16.250874000000003</v>
      </c>
      <c r="AF17">
        <f t="shared" si="7"/>
        <v>7759.9999999999991</v>
      </c>
      <c r="AG17">
        <f>IF(IF('User Guide &amp; Settings'!$S$5="Amount",'User Guide &amp; Settings'!$T$5*AF17,IF('User Guide &amp; Settings'!$S$5="Total Shares",'User Guide &amp; Settings'!$T$5*I17,'User Guide &amp; Settings'!$T$5))=0,MAX(IF('User Guide &amp; Settings'!$P$5="amount",(AF17*'User Guide &amp; Settings'!$Q$5),IF('User Guide &amp; Settings'!$P$5="Total Shares",('User Guide &amp; Settings'!$Q$5*I17),'User Guide &amp; Settings'!$Q$5)),'User Guide &amp; Settings'!$R$5),MIN(IF('User Guide &amp; Settings'!$S$5="Amount",'User Guide &amp; Settings'!$T$5*AF17,IF('User Guide &amp; Settings'!$S$5="Total Shares",'User Guide &amp; Settings'!$T$5*I17,'User Guide &amp; Settings'!$T$5)),MAX(IF('User Guide &amp; Settings'!$P$5="amount",(AF17*'User Guide &amp; Settings'!$Q$5),IF('User Guide &amp; Settings'!$P$5="Total Shares",('User Guide &amp; Settings'!$Q$5*I17),'User Guide &amp; Settings'!$Q$5)),'User Guide &amp; Settings'!$R$5)))</f>
        <v>20</v>
      </c>
      <c r="AH17">
        <f>IF(IF('User Guide &amp; Settings'!$S$6="Amount",'User Guide &amp; Settings'!$T$6*AF17,IF('User Guide &amp; Settings'!$S$6="Total Shares",'User Guide &amp; Settings'!$T$6*I17,'User Guide &amp; Settings'!$T$6))=0,MAX(IF('User Guide &amp; Settings'!$P$6="amount",(AF17*'User Guide &amp; Settings'!$Q$6),IF('User Guide &amp; Settings'!$P$6="Total Shares",('User Guide &amp; Settings'!$Q$6*I17),'User Guide &amp; Settings'!$Q$6)),'User Guide &amp; Settings'!$R$6),MIN(IF('User Guide &amp; Settings'!$S$6="Amount",'User Guide &amp; Settings'!$T$6*AF17,IF('User Guide &amp; Settings'!$S$6="Total Shares",'User Guide &amp; Settings'!$T$6*I17,'User Guide &amp; Settings'!$T$6)),MAX(IF('User Guide &amp; Settings'!$P$6="amount",(AF17*'User Guide &amp; Settings'!$Q$6),IF('User Guide &amp; Settings'!$P$6="Total Shares",('User Guide &amp; Settings'!$Q$6*I17),'User Guide &amp; Settings'!$Q$6)),'User Guide &amp; Settings'!$R$6)))</f>
        <v>2.4</v>
      </c>
      <c r="AI17">
        <f>IF(IF('User Guide &amp; Settings'!$S$7="Amount",'User Guide &amp; Settings'!$T$7*AF17,IF('User Guide &amp; Settings'!$S$7="Total Shares",'User Guide &amp; Settings'!$T$7*I17,'User Guide &amp; Settings'!$T$7))=0,MAX(IF('User Guide &amp; Settings'!$P$7="amount",(AF17*'User Guide &amp; Settings'!$Q$7),IF('User Guide &amp; Settings'!$P$7="Total Shares",('User Guide &amp; Settings'!$Q$7*I17),'User Guide &amp; Settings'!$Q$7)),'User Guide &amp; Settings'!$R$7),MIN(IF('User Guide &amp; Settings'!$S$7="Amount",'User Guide &amp; Settings'!$T$7*AF17,IF('User Guide &amp; Settings'!$S$7="Total Shares",'User Guide &amp; Settings'!$T$7*I17,'User Guide &amp; Settings'!$T$7)),MAX(IF('User Guide &amp; Settings'!$P$7="amount",(AF17*'User Guide &amp; Settings'!$Q$7),IF('User Guide &amp; Settings'!$P$7="Total Shares",('User Guide &amp; Settings'!$Q$7*I17),'User Guide &amp; Settings'!$Q$7)),'User Guide &amp; Settings'!$R$7)))</f>
        <v>11.639999999999999</v>
      </c>
      <c r="AJ17">
        <f>IF(IF('User Guide &amp; Settings'!$S$8="Amount",'User Guide &amp; Settings'!$T$8*AF17,IF('User Guide &amp; Settings'!$S$8="Total Shares",'User Guide &amp; Settings'!$T$8*I17,'User Guide &amp; Settings'!$T$8))=0,MAX(IF('User Guide &amp; Settings'!$P$8="amount",(AF17*'User Guide &amp; Settings'!$Q$8),IF('User Guide &amp; Settings'!$P$8="Total Shares",('User Guide &amp; Settings'!$Q$8*I17),'User Guide &amp; Settings'!$Q$8)),'User Guide &amp; Settings'!$R$8),MIN(IF('User Guide &amp; Settings'!$S$8="Amount",'User Guide &amp; Settings'!$T$8*AF17,IF('User Guide &amp; Settings'!$S$8="Total Shares",'User Guide &amp; Settings'!$T$8*I17,'User Guide &amp; Settings'!$T$8)),MAX(IF('User Guide &amp; Settings'!$P$8="amount",(AF17*'User Guide &amp; Settings'!$Q$8),IF('User Guide &amp; Settings'!$P$8="Total Shares",('User Guide &amp; Settings'!$Q$8*I17),'User Guide &amp; Settings'!$Q$8)),'User Guide &amp; Settings'!$R$8)))</f>
        <v>46.559999999999995</v>
      </c>
      <c r="AK17">
        <f t="shared" si="8"/>
        <v>19.198499999999996</v>
      </c>
      <c r="AL17">
        <f t="shared" si="9"/>
        <v>900</v>
      </c>
      <c r="AM17" s="414">
        <f t="shared" si="17"/>
        <v>6897.5324000000019</v>
      </c>
      <c r="AN17" s="584"/>
      <c r="AO17" s="584"/>
      <c r="AP17" s="582"/>
      <c r="AR17" s="587"/>
      <c r="AT17" s="598"/>
      <c r="AU17" s="590"/>
      <c r="AX17">
        <f t="shared" si="10"/>
        <v>781.86759999999595</v>
      </c>
      <c r="AY17">
        <f t="shared" si="11"/>
        <v>-397.1828000000005</v>
      </c>
      <c r="AZ17" s="310"/>
      <c r="BA17">
        <f t="shared" si="12"/>
        <v>-2</v>
      </c>
      <c r="BB17" t="str">
        <f>C16</f>
        <v>PXP</v>
      </c>
    </row>
    <row r="18" spans="1:54" ht="15.95" customHeight="1" x14ac:dyDescent="0.25">
      <c r="A18" s="444"/>
      <c r="B18" s="591"/>
      <c r="C18" s="592"/>
      <c r="D18" s="416">
        <v>17.25</v>
      </c>
      <c r="E18" s="593"/>
      <c r="F18" s="594"/>
      <c r="G18" s="595"/>
      <c r="H18" s="505"/>
      <c r="I18" s="499">
        <f t="shared" si="18"/>
        <v>300</v>
      </c>
      <c r="J18">
        <f>IF(E16=0,"",E16)</f>
        <v>16.420000000000002</v>
      </c>
      <c r="K18">
        <f>IF(F16=0,"",F16)</f>
        <v>19.399999999999999</v>
      </c>
      <c r="L18">
        <f t="shared" si="2"/>
        <v>19.399999999999999</v>
      </c>
      <c r="M18">
        <f t="shared" si="3"/>
        <v>16.420000000000002</v>
      </c>
      <c r="N18">
        <f>IFERROR(IF(AND(D18&gt;='User Guide &amp; Settings'!$Z$5,D18&lt;='User Guide &amp; Settings'!$AA$5),'User Guide &amp; Settings'!$AC$5,IF(AND(D18&gt;='User Guide &amp; Settings'!$Z$4,D18&lt;='User Guide &amp; Settings'!$AA$4),'User Guide &amp; Settings'!$AC$4,IF(AND(D18&gt;='User Guide &amp; Settings'!$Z$6,D18&lt;='User Guide &amp; Settings'!$AA$7),'User Guide &amp; Settings'!$AC$6,IF(AND(D18&gt;='User Guide &amp; Settings'!$Z$8,D18&lt;='User Guide &amp; Settings'!$AA$8),'User Guide &amp; Settings'!$AC$8,IF(AND(D18&gt;='User Guide &amp; Settings'!$Z$9,D18&lt;='User Guide &amp; Settings'!$AA$23),'User Guide &amp; Settings'!$AC$23,IF(AND(D18&gt;='User Guide &amp; Settings'!$Z$24,D18&lt;='User Guide &amp; Settings'!$AA$27),'User Guide &amp; Settings'!$AC$27,IF(D18&gt;='User Guide &amp; Settings'!$Z$28,'User Guide &amp; Settings'!$AC$28,0))))))),"")</f>
        <v>100</v>
      </c>
      <c r="O18">
        <f>$BD$6/D18</f>
        <v>695.6521739130435</v>
      </c>
      <c r="P18">
        <f t="shared" si="4"/>
        <v>700</v>
      </c>
      <c r="Q18">
        <f>$BE$6/(X18-AE18)</f>
        <v>271.99248091897232</v>
      </c>
      <c r="R18">
        <f>$BE$6/(D18-M18)</f>
        <v>361.44578313253083</v>
      </c>
      <c r="S18">
        <f t="shared" si="5"/>
        <v>6234.9397590361568</v>
      </c>
      <c r="T18">
        <f>IF(IF('User Guide &amp; Settings'!$S$5="Amount",'User Guide &amp; Settings'!$T$5*S18,IF('User Guide &amp; Settings'!$S$5="Total Shares",'User Guide &amp; Settings'!$T$5*R18,'User Guide &amp; Settings'!$T$5))=0,MAX(IF('User Guide &amp; Settings'!$P$5="amount",(S18*'User Guide &amp; Settings'!$Q$5),IF('User Guide &amp; Settings'!$P$5="Total Shares",('User Guide &amp; Settings'!$Q$5*R18),'User Guide &amp; Settings'!$Q$5)),'User Guide &amp; Settings'!$R$5),MIN(IF('User Guide &amp; Settings'!$S$5="Amount",'User Guide &amp; Settings'!$T$5*S18,IF('User Guide &amp; Settings'!$S$5="Total Shares",'User Guide &amp; Settings'!$T$5*R18,'User Guide &amp; Settings'!$T$5)),MAX(IF('User Guide &amp; Settings'!$P$5="amount",(S18*'User Guide &amp; Settings'!$Q$5),IF('User Guide &amp; Settings'!$P$5="Total Shares",('User Guide &amp; Settings'!$Q$5*R18),'User Guide &amp; Settings'!$Q$5)),'User Guide &amp; Settings'!$R$5)))</f>
        <v>20</v>
      </c>
      <c r="U18">
        <f>IF(IF('User Guide &amp; Settings'!$S$6="Amount",'User Guide &amp; Settings'!$T$6*S18,IF('User Guide &amp; Settings'!$S$6="Total Shares",'User Guide &amp; Settings'!$T$6*R18,'User Guide &amp; Settings'!$T$6))=0,MAX(IF('User Guide &amp; Settings'!$P$6="amount",(S18*'User Guide &amp; Settings'!$Q$6),IF('User Guide &amp; Settings'!$P$6="Total Shares",('User Guide &amp; Settings'!$Q$6*R18),'User Guide &amp; Settings'!$Q$6)),'User Guide &amp; Settings'!$R$6),MIN(IF('User Guide &amp; Settings'!$S$6="Amount",'User Guide &amp; Settings'!$T$6*S18,IF('User Guide &amp; Settings'!$S$6="Total Shares",'User Guide &amp; Settings'!$T$6*R18,'User Guide &amp; Settings'!$T$6)),MAX(IF('User Guide &amp; Settings'!$P$6="amount",(S18*'User Guide &amp; Settings'!$Q$6),IF('User Guide &amp; Settings'!$P$6="Total Shares",('User Guide &amp; Settings'!$Q$6*R18),'User Guide &amp; Settings'!$Q$6)),'User Guide &amp; Settings'!$R$6)))</f>
        <v>2.4</v>
      </c>
      <c r="V18">
        <f>IF(IF('User Guide &amp; Settings'!$S$7="Amount",'User Guide &amp; Settings'!$T$7*S18,IF('User Guide &amp; Settings'!$S$7="Total Shares",'User Guide &amp; Settings'!$T$7*R18,'User Guide &amp; Settings'!$T$7))=0,MAX(IF('User Guide &amp; Settings'!$P$7="amount",(S18*'User Guide &amp; Settings'!$Q$7),IF('User Guide &amp; Settings'!$P$7="Total Shares",('User Guide &amp; Settings'!$Q$7*R18),'User Guide &amp; Settings'!$Q$7)),'User Guide &amp; Settings'!$R$7),MIN(IF('User Guide &amp; Settings'!$S$7="Amount",'User Guide &amp; Settings'!$T$7*S18,IF('User Guide &amp; Settings'!$S$7="Total Shares",'User Guide &amp; Settings'!$T$7*R18,'User Guide &amp; Settings'!$T$7)),MAX(IF('User Guide &amp; Settings'!$P$7="amount",(S18*'User Guide &amp; Settings'!$Q$7),IF('User Guide &amp; Settings'!$P$7="Total Shares",('User Guide &amp; Settings'!$Q$7*R18),'User Guide &amp; Settings'!$Q$7)),'User Guide &amp; Settings'!$R$7)))</f>
        <v>9.352409638554235</v>
      </c>
      <c r="W18">
        <f t="shared" si="13"/>
        <v>6266.692168674711</v>
      </c>
      <c r="X18">
        <f t="shared" si="14"/>
        <v>17.337848333333334</v>
      </c>
      <c r="Y18">
        <f t="shared" si="6"/>
        <v>5934.9397590361568</v>
      </c>
      <c r="Z18">
        <f>IF(IF('User Guide &amp; Settings'!$S$5="Amount",'User Guide &amp; Settings'!$T$5*Y18,IF('User Guide &amp; Settings'!$S$5="Total Shares",'User Guide &amp; Settings'!$T$5*R18,'User Guide &amp; Settings'!$T$5))=0,MAX(IF('User Guide &amp; Settings'!$P$5="amount",(Y18*'User Guide &amp; Settings'!$Q$5),IF('User Guide &amp; Settings'!$P$5="Total Shares",('User Guide &amp; Settings'!$Q$5*R18),'User Guide &amp; Settings'!$Q$5)),'User Guide &amp; Settings'!$R$5),MIN(IF('User Guide &amp; Settings'!$S$5="Amount",'User Guide &amp; Settings'!$T$5*Y18,IF('User Guide &amp; Settings'!$S$5="Total Shares",'User Guide &amp; Settings'!$T$5*R18,'User Guide &amp; Settings'!$T$5)),MAX(IF('User Guide &amp; Settings'!$P$5="amount",(Y18*'User Guide &amp; Settings'!$Q$5),IF('User Guide &amp; Settings'!$P$5="Total Shares",('User Guide &amp; Settings'!$Q$5*R18),'User Guide &amp; Settings'!$Q$5)),'User Guide &amp; Settings'!$R$5)))</f>
        <v>20</v>
      </c>
      <c r="AA18">
        <f>IF(IF('User Guide &amp; Settings'!$S$6="Amount",'User Guide &amp; Settings'!$T$6*Y18,IF('User Guide &amp; Settings'!$S$6="Total Shares",'User Guide &amp; Settings'!$T$6*R18,'User Guide &amp; Settings'!$T$6))=0,MAX(IF('User Guide &amp; Settings'!$P$6="amount",(Y18*'User Guide &amp; Settings'!$Q$6),IF('User Guide &amp; Settings'!$P$6="Total Shares",('User Guide &amp; Settings'!$Q$6*R18),'User Guide &amp; Settings'!$Q$6)),'User Guide &amp; Settings'!$R$6),MIN(IF('User Guide &amp; Settings'!$S$6="Amount",'User Guide &amp; Settings'!$T$6*Y18,IF('User Guide &amp; Settings'!$S$6="Total Shares",'User Guide &amp; Settings'!$T$6*R18,'User Guide &amp; Settings'!$T$6)),MAX(IF('User Guide &amp; Settings'!$P$6="amount",(Y18*'User Guide &amp; Settings'!$Q$6),IF('User Guide &amp; Settings'!$P$6="Total Shares",('User Guide &amp; Settings'!$Q$6*R18),'User Guide &amp; Settings'!$Q$6)),'User Guide &amp; Settings'!$R$6)))</f>
        <v>2.4</v>
      </c>
      <c r="AB18">
        <f>IF(IF('User Guide &amp; Settings'!$S$7="Amount",'User Guide &amp; Settings'!$T$7*Y18,IF('User Guide &amp; Settings'!$S$7="Total Shares",'User Guide &amp; Settings'!$T$7*R18,'User Guide &amp; Settings'!$T$7))=0,MAX(IF('User Guide &amp; Settings'!$P$7="amount",(Y18*'User Guide &amp; Settings'!$Q$7),IF('User Guide &amp; Settings'!$P$7="Total Shares",('User Guide &amp; Settings'!$Q$7*R18),'User Guide &amp; Settings'!$Q$7)),'User Guide &amp; Settings'!$R$7),MIN(IF('User Guide &amp; Settings'!$S$7="Amount",'User Guide &amp; Settings'!$T$7*Y18,IF('User Guide &amp; Settings'!$S$7="Total Shares",'User Guide &amp; Settings'!$T$7*R18,'User Guide &amp; Settings'!$T$7)),MAX(IF('User Guide &amp; Settings'!$P$7="amount",(Y18*'User Guide &amp; Settings'!$Q$7),IF('User Guide &amp; Settings'!$P$7="Total Shares",('User Guide &amp; Settings'!$Q$7*R18),'User Guide &amp; Settings'!$Q$7)),'User Guide &amp; Settings'!$R$7)))</f>
        <v>8.9024096385542357</v>
      </c>
      <c r="AC18">
        <f>IF(IF('User Guide &amp; Settings'!$S$8="Amount",'User Guide &amp; Settings'!$T$8*Y18,IF('User Guide &amp; Settings'!$S$8="Total Shares",'User Guide &amp; Settings'!$T$8*R18,'User Guide &amp; Settings'!$T$8))=0,MAX(IF('User Guide &amp; Settings'!$P$8="amount",(Y18*'User Guide &amp; Settings'!$Q$8),IF('User Guide &amp; Settings'!$P$8="Total Shares",('User Guide &amp; Settings'!$Q$8*R18),'User Guide &amp; Settings'!$Q$8)),'User Guide &amp; Settings'!$R$8),MIN(IF('User Guide &amp; Settings'!$S$8="Amount",'User Guide &amp; Settings'!$T$8*Y18,IF('User Guide &amp; Settings'!$S$8="Total Shares",'User Guide &amp; Settings'!$T$8*R18,'User Guide &amp; Settings'!$T$8)),MAX(IF('User Guide &amp; Settings'!$P$8="amount",(Y18*'User Guide &amp; Settings'!$Q$8),IF('User Guide &amp; Settings'!$P$8="Total Shares",('User Guide &amp; Settings'!$Q$8*R18),'User Guide &amp; Settings'!$Q$8)),'User Guide &amp; Settings'!$R$8)))</f>
        <v>35.609638554216943</v>
      </c>
      <c r="AD18">
        <f t="shared" si="15"/>
        <v>5868.0277108433856</v>
      </c>
      <c r="AE18">
        <f t="shared" si="16"/>
        <v>16.234876666666668</v>
      </c>
      <c r="AF18">
        <f t="shared" si="7"/>
        <v>5820</v>
      </c>
      <c r="AG18">
        <f>IF(IF('User Guide &amp; Settings'!$S$5="Amount",'User Guide &amp; Settings'!$T$5*AF18,IF('User Guide &amp; Settings'!$S$5="Total Shares",'User Guide &amp; Settings'!$T$5*I18,'User Guide &amp; Settings'!$T$5))=0,MAX(IF('User Guide &amp; Settings'!$P$5="amount",(AF18*'User Guide &amp; Settings'!$Q$5),IF('User Guide &amp; Settings'!$P$5="Total Shares",('User Guide &amp; Settings'!$Q$5*I18),'User Guide &amp; Settings'!$Q$5)),'User Guide &amp; Settings'!$R$5),MIN(IF('User Guide &amp; Settings'!$S$5="Amount",'User Guide &amp; Settings'!$T$5*AF18,IF('User Guide &amp; Settings'!$S$5="Total Shares",'User Guide &amp; Settings'!$T$5*I18,'User Guide &amp; Settings'!$T$5)),MAX(IF('User Guide &amp; Settings'!$P$5="amount",(AF18*'User Guide &amp; Settings'!$Q$5),IF('User Guide &amp; Settings'!$P$5="Total Shares",('User Guide &amp; Settings'!$Q$5*I18),'User Guide &amp; Settings'!$Q$5)),'User Guide &amp; Settings'!$R$5)))</f>
        <v>20</v>
      </c>
      <c r="AH18">
        <f>IF(IF('User Guide &amp; Settings'!$S$6="Amount",'User Guide &amp; Settings'!$T$6*AF18,IF('User Guide &amp; Settings'!$S$6="Total Shares",'User Guide &amp; Settings'!$T$6*I18,'User Guide &amp; Settings'!$T$6))=0,MAX(IF('User Guide &amp; Settings'!$P$6="amount",(AF18*'User Guide &amp; Settings'!$Q$6),IF('User Guide &amp; Settings'!$P$6="Total Shares",('User Guide &amp; Settings'!$Q$6*I18),'User Guide &amp; Settings'!$Q$6)),'User Guide &amp; Settings'!$R$6),MIN(IF('User Guide &amp; Settings'!$S$6="Amount",'User Guide &amp; Settings'!$T$6*AF18,IF('User Guide &amp; Settings'!$S$6="Total Shares",'User Guide &amp; Settings'!$T$6*I18,'User Guide &amp; Settings'!$T$6)),MAX(IF('User Guide &amp; Settings'!$P$6="amount",(AF18*'User Guide &amp; Settings'!$Q$6),IF('User Guide &amp; Settings'!$P$6="Total Shares",('User Guide &amp; Settings'!$Q$6*I18),'User Guide &amp; Settings'!$Q$6)),'User Guide &amp; Settings'!$R$6)))</f>
        <v>2.4</v>
      </c>
      <c r="AI18">
        <f>IF(IF('User Guide &amp; Settings'!$S$7="Amount",'User Guide &amp; Settings'!$T$7*AF18,IF('User Guide &amp; Settings'!$S$7="Total Shares",'User Guide &amp; Settings'!$T$7*I18,'User Guide &amp; Settings'!$T$7))=0,MAX(IF('User Guide &amp; Settings'!$P$7="amount",(AF18*'User Guide &amp; Settings'!$Q$7),IF('User Guide &amp; Settings'!$P$7="Total Shares",('User Guide &amp; Settings'!$Q$7*I18),'User Guide &amp; Settings'!$Q$7)),'User Guide &amp; Settings'!$R$7),MIN(IF('User Guide &amp; Settings'!$S$7="Amount",'User Guide &amp; Settings'!$T$7*AF18,IF('User Guide &amp; Settings'!$S$7="Total Shares",'User Guide &amp; Settings'!$T$7*I18,'User Guide &amp; Settings'!$T$7)),MAX(IF('User Guide &amp; Settings'!$P$7="amount",(AF18*'User Guide &amp; Settings'!$Q$7),IF('User Guide &amp; Settings'!$P$7="Total Shares",('User Guide &amp; Settings'!$Q$7*I18),'User Guide &amp; Settings'!$Q$7)),'User Guide &amp; Settings'!$R$7)))</f>
        <v>8.73</v>
      </c>
      <c r="AJ18">
        <f>IF(IF('User Guide &amp; Settings'!$S$8="Amount",'User Guide &amp; Settings'!$T$8*AF18,IF('User Guide &amp; Settings'!$S$8="Total Shares",'User Guide &amp; Settings'!$T$8*I18,'User Guide &amp; Settings'!$T$8))=0,MAX(IF('User Guide &amp; Settings'!$P$8="amount",(AF18*'User Guide &amp; Settings'!$Q$8),IF('User Guide &amp; Settings'!$P$8="Total Shares",('User Guide &amp; Settings'!$Q$8*I18),'User Guide &amp; Settings'!$Q$8)),'User Guide &amp; Settings'!$R$8),MIN(IF('User Guide &amp; Settings'!$S$8="Amount",'User Guide &amp; Settings'!$T$8*AF18,IF('User Guide &amp; Settings'!$S$8="Total Shares",'User Guide &amp; Settings'!$T$8*I18,'User Guide &amp; Settings'!$T$8)),MAX(IF('User Guide &amp; Settings'!$P$8="amount",(AF18*'User Guide &amp; Settings'!$Q$8),IF('User Guide &amp; Settings'!$P$8="Total Shares",('User Guide &amp; Settings'!$Q$8*I18),'User Guide &amp; Settings'!$Q$8)),'User Guide &amp; Settings'!$R$8)))</f>
        <v>34.92</v>
      </c>
      <c r="AK18">
        <f t="shared" si="8"/>
        <v>19.179833333333335</v>
      </c>
      <c r="AL18">
        <f t="shared" si="9"/>
        <v>700</v>
      </c>
      <c r="AM18" s="414">
        <f t="shared" si="17"/>
        <v>5201.3545000000004</v>
      </c>
      <c r="AN18" s="584"/>
      <c r="AO18" s="584"/>
      <c r="AP18" s="582"/>
      <c r="AR18" s="587"/>
      <c r="AT18" s="598"/>
      <c r="AU18" s="590"/>
      <c r="AX18">
        <f t="shared" si="10"/>
        <v>552.59550000000036</v>
      </c>
      <c r="AY18">
        <f t="shared" si="11"/>
        <v>-330.89149999999972</v>
      </c>
      <c r="AZ18" s="310"/>
      <c r="BA18">
        <f t="shared" si="12"/>
        <v>-2</v>
      </c>
      <c r="BB18" t="str">
        <f>C16</f>
        <v>PXP</v>
      </c>
    </row>
    <row r="19" spans="1:54" ht="15.95" customHeight="1" x14ac:dyDescent="0.25">
      <c r="A19" s="444"/>
      <c r="B19" s="591"/>
      <c r="C19" s="592"/>
      <c r="D19" s="416"/>
      <c r="E19" s="593"/>
      <c r="F19" s="594"/>
      <c r="G19" s="595"/>
      <c r="H19" s="501"/>
      <c r="I19" s="499"/>
      <c r="AM19" s="414"/>
      <c r="AN19" s="584"/>
      <c r="AO19" s="584"/>
      <c r="AP19" s="582"/>
      <c r="AR19" s="586"/>
      <c r="AT19" s="597"/>
      <c r="AU19" s="590"/>
      <c r="AZ19" s="310"/>
    </row>
    <row r="20" spans="1:54" ht="15.95" customHeight="1" x14ac:dyDescent="0.25">
      <c r="A20" s="444"/>
      <c r="B20" s="591"/>
      <c r="C20" s="592"/>
      <c r="D20" s="416"/>
      <c r="E20" s="593"/>
      <c r="F20" s="594"/>
      <c r="G20" s="595"/>
      <c r="H20" s="502"/>
      <c r="I20" s="499"/>
      <c r="AM20" s="414"/>
      <c r="AN20" s="584"/>
      <c r="AO20" s="584"/>
      <c r="AP20" s="582"/>
      <c r="AR20" s="587"/>
      <c r="AT20" s="598"/>
      <c r="AU20" s="590"/>
      <c r="AZ20" s="310"/>
    </row>
    <row r="21" spans="1:54" ht="15.95" customHeight="1" x14ac:dyDescent="0.25">
      <c r="A21" s="444"/>
      <c r="B21" s="591"/>
      <c r="C21" s="592"/>
      <c r="D21" s="416"/>
      <c r="E21" s="593"/>
      <c r="F21" s="594"/>
      <c r="G21" s="595"/>
      <c r="H21" s="503"/>
      <c r="I21" s="499"/>
      <c r="AM21" s="414"/>
      <c r="AN21" s="584"/>
      <c r="AO21" s="584"/>
      <c r="AP21" s="582"/>
      <c r="AR21" s="587"/>
      <c r="AT21" s="598"/>
      <c r="AU21" s="590"/>
      <c r="AZ21" s="310"/>
    </row>
    <row r="22" spans="1:54" ht="15.95" customHeight="1" x14ac:dyDescent="0.25">
      <c r="A22" s="444"/>
      <c r="B22" s="591"/>
      <c r="C22" s="592"/>
      <c r="D22" s="416"/>
      <c r="E22" s="593"/>
      <c r="F22" s="594"/>
      <c r="G22" s="595"/>
      <c r="H22" s="504"/>
      <c r="I22" s="499"/>
      <c r="AM22" s="414"/>
      <c r="AN22" s="584"/>
      <c r="AO22" s="584"/>
      <c r="AP22" s="582"/>
      <c r="AR22" s="586"/>
      <c r="AT22" s="597"/>
      <c r="AU22" s="590"/>
      <c r="AZ22" s="310"/>
    </row>
    <row r="23" spans="1:54" ht="15.95" customHeight="1" x14ac:dyDescent="0.25">
      <c r="A23" s="38"/>
      <c r="B23" s="591"/>
      <c r="C23" s="592"/>
      <c r="D23" s="416"/>
      <c r="E23" s="593"/>
      <c r="F23" s="594"/>
      <c r="G23" s="595"/>
      <c r="H23" s="502"/>
      <c r="I23" s="499"/>
      <c r="AM23" s="414"/>
      <c r="AN23" s="584"/>
      <c r="AO23" s="584"/>
      <c r="AP23" s="582"/>
      <c r="AR23" s="587"/>
      <c r="AT23" s="598"/>
      <c r="AU23" s="590"/>
      <c r="AZ23" s="310"/>
    </row>
    <row r="24" spans="1:54" ht="15.95" customHeight="1" x14ac:dyDescent="0.25">
      <c r="A24" s="38"/>
      <c r="B24" s="591"/>
      <c r="C24" s="592"/>
      <c r="D24" s="416"/>
      <c r="E24" s="593"/>
      <c r="F24" s="594"/>
      <c r="G24" s="595"/>
      <c r="H24" s="505"/>
      <c r="I24" s="499"/>
      <c r="AM24" s="414"/>
      <c r="AN24" s="584"/>
      <c r="AO24" s="584"/>
      <c r="AP24" s="582"/>
      <c r="AR24" s="587"/>
      <c r="AT24" s="598"/>
      <c r="AU24" s="590"/>
      <c r="AZ24" s="310"/>
    </row>
    <row r="25" spans="1:54" ht="15.95" customHeight="1" x14ac:dyDescent="0.25">
      <c r="A25" s="38"/>
      <c r="B25" s="591"/>
      <c r="C25" s="592"/>
      <c r="D25" s="525"/>
      <c r="E25" s="593"/>
      <c r="F25" s="594"/>
      <c r="G25" s="595"/>
      <c r="H25" s="501"/>
      <c r="I25" s="499"/>
      <c r="AM25" s="414"/>
      <c r="AN25" s="584"/>
      <c r="AO25" s="584"/>
      <c r="AP25" s="582"/>
      <c r="AR25" s="586"/>
      <c r="AT25" s="597"/>
      <c r="AU25" s="590"/>
      <c r="AZ25" s="310"/>
    </row>
    <row r="26" spans="1:54" ht="15.95" customHeight="1" x14ac:dyDescent="0.25">
      <c r="A26" s="38"/>
      <c r="B26" s="591"/>
      <c r="C26" s="592"/>
      <c r="D26" s="525"/>
      <c r="E26" s="593"/>
      <c r="F26" s="594"/>
      <c r="G26" s="595"/>
      <c r="H26" s="502"/>
      <c r="I26" s="499"/>
      <c r="AM26" s="414"/>
      <c r="AN26" s="584"/>
      <c r="AO26" s="584"/>
      <c r="AP26" s="582"/>
      <c r="AR26" s="587"/>
      <c r="AT26" s="598"/>
      <c r="AU26" s="590"/>
      <c r="AZ26" s="310"/>
    </row>
    <row r="27" spans="1:54" ht="15.95" customHeight="1" x14ac:dyDescent="0.25">
      <c r="A27" s="38"/>
      <c r="B27" s="591"/>
      <c r="C27" s="592"/>
      <c r="D27" s="525"/>
      <c r="E27" s="593"/>
      <c r="F27" s="594"/>
      <c r="G27" s="595"/>
      <c r="H27" s="503"/>
      <c r="I27" s="499"/>
      <c r="AM27" s="414"/>
      <c r="AN27" s="584"/>
      <c r="AO27" s="584"/>
      <c r="AP27" s="582"/>
      <c r="AR27" s="587"/>
      <c r="AT27" s="598"/>
      <c r="AU27" s="590"/>
      <c r="AZ27" s="310"/>
    </row>
    <row r="28" spans="1:54" ht="15.95" customHeight="1" x14ac:dyDescent="0.25">
      <c r="A28" s="38"/>
      <c r="B28" s="591"/>
      <c r="C28" s="592"/>
      <c r="D28" s="525"/>
      <c r="E28" s="593"/>
      <c r="F28" s="594"/>
      <c r="G28" s="595"/>
      <c r="H28" s="504"/>
      <c r="I28" s="499"/>
      <c r="AM28" s="414"/>
      <c r="AN28" s="584"/>
      <c r="AO28" s="584"/>
      <c r="AP28" s="582"/>
      <c r="AR28" s="586"/>
      <c r="AT28" s="597"/>
      <c r="AU28" s="590"/>
      <c r="AZ28" s="310"/>
    </row>
    <row r="29" spans="1:54" ht="15.95" customHeight="1" x14ac:dyDescent="0.25">
      <c r="A29" s="38"/>
      <c r="B29" s="591"/>
      <c r="C29" s="592"/>
      <c r="D29" s="525"/>
      <c r="E29" s="593"/>
      <c r="F29" s="594"/>
      <c r="G29" s="595"/>
      <c r="H29" s="502"/>
      <c r="I29" s="499"/>
      <c r="AM29" s="414"/>
      <c r="AN29" s="584"/>
      <c r="AO29" s="584"/>
      <c r="AP29" s="582"/>
      <c r="AR29" s="587"/>
      <c r="AT29" s="598"/>
      <c r="AU29" s="590"/>
      <c r="AZ29" s="310"/>
    </row>
    <row r="30" spans="1:54" ht="15.95" customHeight="1" x14ac:dyDescent="0.25">
      <c r="A30" s="38"/>
      <c r="B30" s="591"/>
      <c r="C30" s="592"/>
      <c r="D30" s="525"/>
      <c r="E30" s="593"/>
      <c r="F30" s="594"/>
      <c r="G30" s="595"/>
      <c r="H30" s="505"/>
      <c r="I30" s="499"/>
      <c r="AM30" s="414"/>
      <c r="AN30" s="584"/>
      <c r="AO30" s="584"/>
      <c r="AP30" s="582"/>
      <c r="AR30" s="587"/>
      <c r="AT30" s="598"/>
      <c r="AU30" s="590"/>
      <c r="AZ30" s="310"/>
    </row>
    <row r="31" spans="1:54" ht="15.95" customHeight="1" x14ac:dyDescent="0.25">
      <c r="A31" s="38"/>
      <c r="B31" s="591"/>
      <c r="C31" s="592"/>
      <c r="D31" s="525"/>
      <c r="E31" s="593"/>
      <c r="F31" s="594"/>
      <c r="G31" s="595"/>
      <c r="H31" s="501"/>
      <c r="I31" s="499"/>
      <c r="AM31" s="414"/>
      <c r="AN31" s="584"/>
      <c r="AO31" s="584"/>
      <c r="AP31" s="582"/>
      <c r="AR31" s="586"/>
      <c r="AT31" s="597"/>
      <c r="AU31" s="590"/>
      <c r="AZ31" s="310"/>
    </row>
    <row r="32" spans="1:54" ht="15.95" customHeight="1" x14ac:dyDescent="0.25">
      <c r="A32" s="38"/>
      <c r="B32" s="591"/>
      <c r="C32" s="592"/>
      <c r="D32" s="525"/>
      <c r="E32" s="593"/>
      <c r="F32" s="594"/>
      <c r="G32" s="595"/>
      <c r="H32" s="502"/>
      <c r="I32" s="499"/>
      <c r="AM32" s="414"/>
      <c r="AN32" s="584"/>
      <c r="AO32" s="584"/>
      <c r="AP32" s="582"/>
      <c r="AR32" s="587"/>
      <c r="AT32" s="598"/>
      <c r="AU32" s="590"/>
      <c r="AZ32" s="310"/>
    </row>
    <row r="33" spans="1:52" ht="15.95" customHeight="1" x14ac:dyDescent="0.25">
      <c r="A33" s="38"/>
      <c r="B33" s="591"/>
      <c r="C33" s="592"/>
      <c r="D33" s="525"/>
      <c r="E33" s="593"/>
      <c r="F33" s="594"/>
      <c r="G33" s="595"/>
      <c r="H33" s="503"/>
      <c r="I33" s="499"/>
      <c r="AM33" s="414"/>
      <c r="AN33" s="584"/>
      <c r="AO33" s="584"/>
      <c r="AP33" s="582"/>
      <c r="AR33" s="587"/>
      <c r="AT33" s="598"/>
      <c r="AU33" s="590"/>
      <c r="AZ33" s="310"/>
    </row>
    <row r="34" spans="1:52" ht="15.95" customHeight="1" x14ac:dyDescent="0.25">
      <c r="A34" s="38"/>
      <c r="B34" s="591"/>
      <c r="C34" s="592"/>
      <c r="D34" s="525"/>
      <c r="E34" s="593"/>
      <c r="F34" s="594"/>
      <c r="G34" s="595"/>
      <c r="H34" s="504"/>
      <c r="I34" s="499"/>
      <c r="AM34" s="414"/>
      <c r="AN34" s="584"/>
      <c r="AO34" s="584"/>
      <c r="AP34" s="582"/>
      <c r="AR34" s="586"/>
      <c r="AT34" s="597"/>
      <c r="AU34" s="590"/>
      <c r="AZ34" s="310"/>
    </row>
    <row r="35" spans="1:52" ht="15.95" customHeight="1" x14ac:dyDescent="0.25">
      <c r="A35" s="38"/>
      <c r="B35" s="591"/>
      <c r="C35" s="592"/>
      <c r="D35" s="525"/>
      <c r="E35" s="593"/>
      <c r="F35" s="594"/>
      <c r="G35" s="595"/>
      <c r="H35" s="502"/>
      <c r="I35" s="499"/>
      <c r="AM35" s="414"/>
      <c r="AN35" s="584"/>
      <c r="AO35" s="584"/>
      <c r="AP35" s="582"/>
      <c r="AR35" s="587"/>
      <c r="AT35" s="598"/>
      <c r="AU35" s="590"/>
      <c r="AZ35" s="310"/>
    </row>
    <row r="36" spans="1:52" ht="15.95" customHeight="1" x14ac:dyDescent="0.25">
      <c r="A36" s="38"/>
      <c r="B36" s="591"/>
      <c r="C36" s="592"/>
      <c r="D36" s="525"/>
      <c r="E36" s="593"/>
      <c r="F36" s="594"/>
      <c r="G36" s="595"/>
      <c r="H36" s="505"/>
      <c r="I36" s="499"/>
      <c r="AM36" s="414"/>
      <c r="AN36" s="584"/>
      <c r="AO36" s="584"/>
      <c r="AP36" s="582"/>
      <c r="AR36" s="587"/>
      <c r="AT36" s="598"/>
      <c r="AU36" s="590"/>
      <c r="AZ36" s="310"/>
    </row>
    <row r="37" spans="1:52" ht="15.95" customHeight="1" x14ac:dyDescent="0.25">
      <c r="A37" s="38"/>
      <c r="B37" s="591"/>
      <c r="C37" s="592"/>
      <c r="D37" s="525"/>
      <c r="E37" s="593"/>
      <c r="F37" s="594"/>
      <c r="G37" s="595"/>
      <c r="H37" s="501"/>
      <c r="I37" s="499"/>
      <c r="AM37" s="414"/>
      <c r="AN37" s="584"/>
      <c r="AO37" s="584"/>
      <c r="AP37" s="582"/>
      <c r="AR37" s="586"/>
      <c r="AT37" s="597"/>
      <c r="AU37" s="590"/>
      <c r="AZ37" s="310"/>
    </row>
    <row r="38" spans="1:52" ht="15.95" customHeight="1" x14ac:dyDescent="0.25">
      <c r="A38" s="38"/>
      <c r="B38" s="591"/>
      <c r="C38" s="592"/>
      <c r="D38" s="525"/>
      <c r="E38" s="593"/>
      <c r="F38" s="594"/>
      <c r="G38" s="595"/>
      <c r="H38" s="502"/>
      <c r="I38" s="499"/>
      <c r="AM38" s="414"/>
      <c r="AN38" s="584"/>
      <c r="AO38" s="584"/>
      <c r="AP38" s="582"/>
      <c r="AR38" s="587"/>
      <c r="AT38" s="598"/>
      <c r="AU38" s="590"/>
      <c r="AZ38" s="310"/>
    </row>
    <row r="39" spans="1:52" ht="15.95" customHeight="1" x14ac:dyDescent="0.25">
      <c r="A39" s="38"/>
      <c r="B39" s="591"/>
      <c r="C39" s="592"/>
      <c r="D39" s="525"/>
      <c r="E39" s="593"/>
      <c r="F39" s="594"/>
      <c r="G39" s="595"/>
      <c r="H39" s="503"/>
      <c r="I39" s="499"/>
      <c r="AM39" s="414"/>
      <c r="AN39" s="584"/>
      <c r="AO39" s="584"/>
      <c r="AP39" s="582"/>
      <c r="AR39" s="587"/>
      <c r="AT39" s="598"/>
      <c r="AU39" s="590"/>
      <c r="AZ39" s="310"/>
    </row>
    <row r="40" spans="1:52" ht="15.95" customHeight="1" x14ac:dyDescent="0.25">
      <c r="A40" s="38"/>
      <c r="B40" s="591"/>
      <c r="C40" s="592"/>
      <c r="D40" s="525"/>
      <c r="E40" s="593"/>
      <c r="F40" s="594"/>
      <c r="G40" s="595"/>
      <c r="H40" s="504"/>
      <c r="I40" s="499"/>
      <c r="AM40" s="414"/>
      <c r="AN40" s="584"/>
      <c r="AO40" s="584"/>
      <c r="AP40" s="582"/>
      <c r="AR40" s="586"/>
      <c r="AT40" s="597"/>
      <c r="AU40" s="590"/>
      <c r="AZ40" s="310"/>
    </row>
    <row r="41" spans="1:52" ht="15.95" customHeight="1" x14ac:dyDescent="0.25">
      <c r="A41" s="38"/>
      <c r="B41" s="591"/>
      <c r="C41" s="592"/>
      <c r="D41" s="525"/>
      <c r="E41" s="593"/>
      <c r="F41" s="594"/>
      <c r="G41" s="595"/>
      <c r="H41" s="502"/>
      <c r="I41" s="499"/>
      <c r="AM41" s="414"/>
      <c r="AN41" s="584"/>
      <c r="AO41" s="584"/>
      <c r="AP41" s="582"/>
      <c r="AR41" s="587"/>
      <c r="AT41" s="598"/>
      <c r="AU41" s="590"/>
      <c r="AZ41" s="310"/>
    </row>
    <row r="42" spans="1:52" ht="15.95" customHeight="1" x14ac:dyDescent="0.25">
      <c r="A42" s="38"/>
      <c r="B42" s="591"/>
      <c r="C42" s="592"/>
      <c r="D42" s="525"/>
      <c r="E42" s="593"/>
      <c r="F42" s="594"/>
      <c r="G42" s="595"/>
      <c r="H42" s="505"/>
      <c r="I42" s="499"/>
      <c r="AM42" s="414"/>
      <c r="AN42" s="584"/>
      <c r="AO42" s="584"/>
      <c r="AP42" s="582"/>
      <c r="AR42" s="587"/>
      <c r="AT42" s="598"/>
      <c r="AU42" s="590"/>
      <c r="AZ42" s="310"/>
    </row>
    <row r="43" spans="1:52" ht="15.95" customHeight="1" x14ac:dyDescent="0.25">
      <c r="A43" s="38"/>
      <c r="B43" s="591"/>
      <c r="C43" s="592"/>
      <c r="D43" s="525"/>
      <c r="E43" s="593"/>
      <c r="F43" s="594"/>
      <c r="G43" s="595"/>
      <c r="H43" s="501"/>
      <c r="I43" s="499"/>
      <c r="AM43" s="414"/>
      <c r="AN43" s="584"/>
      <c r="AO43" s="584"/>
      <c r="AP43" s="582"/>
      <c r="AR43" s="586"/>
      <c r="AT43" s="597"/>
      <c r="AU43" s="590"/>
      <c r="AZ43" s="310"/>
    </row>
    <row r="44" spans="1:52" ht="15.95" customHeight="1" x14ac:dyDescent="0.25">
      <c r="A44" s="38"/>
      <c r="B44" s="591"/>
      <c r="C44" s="592"/>
      <c r="D44" s="525"/>
      <c r="E44" s="593"/>
      <c r="F44" s="594"/>
      <c r="G44" s="595"/>
      <c r="H44" s="502"/>
      <c r="I44" s="499"/>
      <c r="AM44" s="414"/>
      <c r="AN44" s="584"/>
      <c r="AO44" s="584"/>
      <c r="AP44" s="582"/>
      <c r="AR44" s="587"/>
      <c r="AT44" s="598"/>
      <c r="AU44" s="590"/>
      <c r="AZ44" s="310"/>
    </row>
    <row r="45" spans="1:52" ht="15.95" customHeight="1" x14ac:dyDescent="0.25">
      <c r="A45" s="38"/>
      <c r="B45" s="591"/>
      <c r="C45" s="592"/>
      <c r="D45" s="525"/>
      <c r="E45" s="593"/>
      <c r="F45" s="594"/>
      <c r="G45" s="595"/>
      <c r="H45" s="503"/>
      <c r="I45" s="499"/>
      <c r="AM45" s="414"/>
      <c r="AN45" s="584"/>
      <c r="AO45" s="584"/>
      <c r="AP45" s="582"/>
      <c r="AR45" s="587"/>
      <c r="AT45" s="598"/>
      <c r="AU45" s="590"/>
      <c r="AZ45" s="310"/>
    </row>
    <row r="46" spans="1:52" ht="15.95" customHeight="1" x14ac:dyDescent="0.25">
      <c r="A46" s="38"/>
      <c r="B46" s="591"/>
      <c r="C46" s="592"/>
      <c r="D46" s="525"/>
      <c r="E46" s="593"/>
      <c r="F46" s="594"/>
      <c r="G46" s="595"/>
      <c r="H46" s="504"/>
      <c r="I46" s="499"/>
      <c r="AM46" s="414"/>
      <c r="AN46" s="584"/>
      <c r="AO46" s="584"/>
      <c r="AP46" s="582"/>
      <c r="AR46" s="586"/>
      <c r="AT46" s="597"/>
      <c r="AU46" s="590"/>
      <c r="AZ46" s="310"/>
    </row>
    <row r="47" spans="1:52" ht="15.95" customHeight="1" x14ac:dyDescent="0.25">
      <c r="A47" s="38"/>
      <c r="B47" s="591"/>
      <c r="C47" s="592"/>
      <c r="D47" s="525"/>
      <c r="E47" s="593"/>
      <c r="F47" s="594"/>
      <c r="G47" s="595"/>
      <c r="H47" s="502"/>
      <c r="I47" s="499"/>
      <c r="AM47" s="414"/>
      <c r="AN47" s="584"/>
      <c r="AO47" s="584"/>
      <c r="AP47" s="582"/>
      <c r="AR47" s="587"/>
      <c r="AT47" s="598"/>
      <c r="AU47" s="590"/>
      <c r="AZ47" s="310"/>
    </row>
    <row r="48" spans="1:52" ht="15.95" customHeight="1" x14ac:dyDescent="0.25">
      <c r="A48" s="38"/>
      <c r="B48" s="591"/>
      <c r="C48" s="592"/>
      <c r="D48" s="525"/>
      <c r="E48" s="593"/>
      <c r="F48" s="594"/>
      <c r="G48" s="595"/>
      <c r="H48" s="505"/>
      <c r="I48" s="499"/>
      <c r="AM48" s="414"/>
      <c r="AN48" s="584"/>
      <c r="AO48" s="584"/>
      <c r="AP48" s="582"/>
      <c r="AR48" s="587"/>
      <c r="AT48" s="598"/>
      <c r="AU48" s="590"/>
      <c r="AZ48" s="310"/>
    </row>
    <row r="49" spans="1:52" ht="15.95" customHeight="1" x14ac:dyDescent="0.25">
      <c r="A49" s="38"/>
      <c r="B49" s="591"/>
      <c r="C49" s="592"/>
      <c r="D49" s="525"/>
      <c r="E49" s="593"/>
      <c r="F49" s="594"/>
      <c r="G49" s="595"/>
      <c r="H49" s="501"/>
      <c r="I49" s="499"/>
      <c r="AM49" s="414"/>
      <c r="AN49" s="584"/>
      <c r="AO49" s="584"/>
      <c r="AP49" s="582"/>
      <c r="AR49" s="586"/>
      <c r="AT49" s="597"/>
      <c r="AU49" s="590"/>
      <c r="AZ49" s="310"/>
    </row>
    <row r="50" spans="1:52" ht="15.95" customHeight="1" x14ac:dyDescent="0.25">
      <c r="A50" s="38"/>
      <c r="B50" s="591"/>
      <c r="C50" s="592"/>
      <c r="D50" s="525"/>
      <c r="E50" s="593"/>
      <c r="F50" s="594"/>
      <c r="G50" s="595"/>
      <c r="H50" s="502"/>
      <c r="I50" s="499"/>
      <c r="AM50" s="414"/>
      <c r="AN50" s="584"/>
      <c r="AO50" s="584"/>
      <c r="AP50" s="582"/>
      <c r="AR50" s="587"/>
      <c r="AT50" s="598"/>
      <c r="AU50" s="590"/>
      <c r="AZ50" s="310"/>
    </row>
    <row r="51" spans="1:52" ht="15.95" customHeight="1" x14ac:dyDescent="0.25">
      <c r="A51" s="38"/>
      <c r="B51" s="591"/>
      <c r="C51" s="592"/>
      <c r="D51" s="525"/>
      <c r="E51" s="593"/>
      <c r="F51" s="594"/>
      <c r="G51" s="595"/>
      <c r="H51" s="503"/>
      <c r="I51" s="499"/>
      <c r="AM51" s="414"/>
      <c r="AN51" s="584"/>
      <c r="AO51" s="584"/>
      <c r="AP51" s="582"/>
      <c r="AR51" s="587"/>
      <c r="AT51" s="598"/>
      <c r="AU51" s="590"/>
      <c r="AZ51" s="310"/>
    </row>
    <row r="52" spans="1:52" ht="15.95" customHeight="1" x14ac:dyDescent="0.25">
      <c r="A52" s="38"/>
      <c r="B52" s="591"/>
      <c r="C52" s="592"/>
      <c r="D52" s="525"/>
      <c r="E52" s="593"/>
      <c r="F52" s="594"/>
      <c r="G52" s="595"/>
      <c r="H52" s="504"/>
      <c r="I52" s="499"/>
      <c r="AM52" s="414"/>
      <c r="AN52" s="584"/>
      <c r="AO52" s="584"/>
      <c r="AP52" s="582"/>
      <c r="AR52" s="586"/>
      <c r="AT52" s="597"/>
      <c r="AU52" s="590"/>
      <c r="AZ52" s="310"/>
    </row>
    <row r="53" spans="1:52" ht="15.95" customHeight="1" x14ac:dyDescent="0.25">
      <c r="A53" s="38"/>
      <c r="B53" s="591"/>
      <c r="C53" s="592"/>
      <c r="D53" s="525"/>
      <c r="E53" s="593"/>
      <c r="F53" s="594"/>
      <c r="G53" s="595"/>
      <c r="H53" s="502"/>
      <c r="I53" s="499"/>
      <c r="AM53" s="414"/>
      <c r="AN53" s="584"/>
      <c r="AO53" s="584"/>
      <c r="AP53" s="582"/>
      <c r="AR53" s="587"/>
      <c r="AT53" s="598"/>
      <c r="AU53" s="590"/>
      <c r="AZ53" s="310"/>
    </row>
    <row r="54" spans="1:52" ht="15.95" customHeight="1" x14ac:dyDescent="0.25">
      <c r="A54" s="38"/>
      <c r="B54" s="591"/>
      <c r="C54" s="592"/>
      <c r="D54" s="525"/>
      <c r="E54" s="593"/>
      <c r="F54" s="594"/>
      <c r="G54" s="595"/>
      <c r="H54" s="505"/>
      <c r="I54" s="499"/>
      <c r="AM54" s="414"/>
      <c r="AN54" s="584"/>
      <c r="AO54" s="584"/>
      <c r="AP54" s="582"/>
      <c r="AR54" s="587"/>
      <c r="AT54" s="598"/>
      <c r="AU54" s="590"/>
      <c r="AZ54" s="310"/>
    </row>
    <row r="55" spans="1:52" ht="15.95" customHeight="1" x14ac:dyDescent="0.25">
      <c r="A55" s="38"/>
      <c r="B55" s="591"/>
      <c r="C55" s="592"/>
      <c r="D55" s="525"/>
      <c r="E55" s="593"/>
      <c r="F55" s="594"/>
      <c r="G55" s="595"/>
      <c r="H55" s="501"/>
      <c r="I55" s="499"/>
      <c r="AM55" s="414"/>
      <c r="AN55" s="584"/>
      <c r="AO55" s="584"/>
      <c r="AP55" s="582"/>
      <c r="AR55" s="586"/>
      <c r="AT55" s="597"/>
      <c r="AU55" s="590"/>
      <c r="AZ55" s="310"/>
    </row>
    <row r="56" spans="1:52" ht="15.95" customHeight="1" x14ac:dyDescent="0.25">
      <c r="A56" s="38"/>
      <c r="B56" s="591"/>
      <c r="C56" s="592"/>
      <c r="D56" s="525"/>
      <c r="E56" s="593"/>
      <c r="F56" s="594"/>
      <c r="G56" s="595"/>
      <c r="H56" s="502"/>
      <c r="I56" s="499"/>
      <c r="AM56" s="414"/>
      <c r="AN56" s="584"/>
      <c r="AO56" s="584"/>
      <c r="AP56" s="582"/>
      <c r="AR56" s="587"/>
      <c r="AT56" s="598"/>
      <c r="AU56" s="590"/>
      <c r="AZ56" s="310"/>
    </row>
    <row r="57" spans="1:52" ht="15.95" customHeight="1" x14ac:dyDescent="0.25">
      <c r="A57" s="38"/>
      <c r="B57" s="591"/>
      <c r="C57" s="592"/>
      <c r="D57" s="525"/>
      <c r="E57" s="593"/>
      <c r="F57" s="594"/>
      <c r="G57" s="595"/>
      <c r="H57" s="503"/>
      <c r="I57" s="499"/>
      <c r="AM57" s="414"/>
      <c r="AN57" s="584"/>
      <c r="AO57" s="584"/>
      <c r="AP57" s="582"/>
      <c r="AR57" s="587"/>
      <c r="AT57" s="598"/>
      <c r="AU57" s="599"/>
      <c r="AZ57" s="310"/>
    </row>
    <row r="58" spans="1:52" ht="15.95" customHeight="1" x14ac:dyDescent="0.25">
      <c r="A58" s="38"/>
      <c r="B58" s="591"/>
      <c r="C58" s="592"/>
      <c r="D58" s="525"/>
      <c r="E58" s="593"/>
      <c r="F58" s="594"/>
      <c r="G58" s="595"/>
      <c r="H58" s="504"/>
      <c r="I58" s="499"/>
      <c r="AM58" s="414"/>
      <c r="AN58" s="584"/>
      <c r="AO58" s="584"/>
      <c r="AP58" s="582"/>
      <c r="AR58" s="586"/>
      <c r="AT58" s="597"/>
      <c r="AU58" s="588"/>
      <c r="AZ58" s="310"/>
    </row>
    <row r="59" spans="1:52" ht="15.95" customHeight="1" x14ac:dyDescent="0.25">
      <c r="A59" s="38"/>
      <c r="B59" s="591"/>
      <c r="C59" s="592"/>
      <c r="D59" s="525"/>
      <c r="E59" s="593"/>
      <c r="F59" s="594"/>
      <c r="G59" s="595"/>
      <c r="H59" s="502"/>
      <c r="I59" s="499"/>
      <c r="AM59" s="414"/>
      <c r="AN59" s="584"/>
      <c r="AO59" s="584"/>
      <c r="AP59" s="582"/>
      <c r="AR59" s="587"/>
      <c r="AT59" s="598"/>
      <c r="AU59" s="588"/>
      <c r="AZ59" s="310"/>
    </row>
    <row r="60" spans="1:52" ht="15.95" customHeight="1" x14ac:dyDescent="0.25">
      <c r="A60" s="38"/>
      <c r="B60" s="591"/>
      <c r="C60" s="592"/>
      <c r="D60" s="525"/>
      <c r="E60" s="593"/>
      <c r="F60" s="594"/>
      <c r="G60" s="595"/>
      <c r="H60" s="505"/>
      <c r="I60" s="499"/>
      <c r="AM60" s="414"/>
      <c r="AN60" s="584"/>
      <c r="AO60" s="584"/>
      <c r="AP60" s="582"/>
      <c r="AR60" s="587"/>
      <c r="AT60" s="598"/>
      <c r="AU60" s="588"/>
      <c r="AZ60" s="310"/>
    </row>
    <row r="61" spans="1:52" ht="15.95" customHeight="1" x14ac:dyDescent="0.25">
      <c r="A61" s="38"/>
      <c r="B61" s="591"/>
      <c r="C61" s="592"/>
      <c r="D61" s="525"/>
      <c r="E61" s="593"/>
      <c r="F61" s="594"/>
      <c r="G61" s="595"/>
      <c r="H61" s="501"/>
      <c r="I61" s="499"/>
      <c r="AM61" s="414"/>
      <c r="AN61" s="584"/>
      <c r="AO61" s="584"/>
      <c r="AP61" s="582"/>
      <c r="AR61" s="586"/>
      <c r="AT61" s="597"/>
      <c r="AU61" s="588"/>
      <c r="AZ61" s="310"/>
    </row>
    <row r="62" spans="1:52" ht="15.95" customHeight="1" x14ac:dyDescent="0.25">
      <c r="A62" s="38"/>
      <c r="B62" s="591"/>
      <c r="C62" s="592"/>
      <c r="D62" s="525"/>
      <c r="E62" s="593"/>
      <c r="F62" s="594"/>
      <c r="G62" s="595"/>
      <c r="H62" s="502"/>
      <c r="I62" s="499"/>
      <c r="AM62" s="414"/>
      <c r="AN62" s="584"/>
      <c r="AO62" s="584"/>
      <c r="AP62" s="582"/>
      <c r="AR62" s="587"/>
      <c r="AT62" s="598"/>
      <c r="AU62" s="588"/>
      <c r="AZ62" s="310"/>
    </row>
    <row r="63" spans="1:52" ht="15.95" customHeight="1" x14ac:dyDescent="0.25">
      <c r="A63" s="38"/>
      <c r="B63" s="591"/>
      <c r="C63" s="592"/>
      <c r="D63" s="525"/>
      <c r="E63" s="593"/>
      <c r="F63" s="594"/>
      <c r="G63" s="595"/>
      <c r="H63" s="503"/>
      <c r="I63" s="499"/>
      <c r="AM63" s="414"/>
      <c r="AN63" s="584"/>
      <c r="AO63" s="584"/>
      <c r="AP63" s="582"/>
      <c r="AR63" s="587"/>
      <c r="AT63" s="598"/>
      <c r="AU63" s="588"/>
      <c r="AZ63" s="310"/>
    </row>
    <row r="64" spans="1:52" ht="15.95" customHeight="1" x14ac:dyDescent="0.25">
      <c r="A64" s="38"/>
      <c r="B64" s="591"/>
      <c r="C64" s="592"/>
      <c r="D64" s="525"/>
      <c r="E64" s="593"/>
      <c r="F64" s="594"/>
      <c r="G64" s="595"/>
      <c r="H64" s="504"/>
      <c r="I64" s="499"/>
      <c r="AM64" s="414"/>
      <c r="AN64" s="584"/>
      <c r="AO64" s="584"/>
      <c r="AP64" s="582"/>
      <c r="AR64" s="586"/>
      <c r="AT64" s="597"/>
      <c r="AU64" s="588"/>
      <c r="AZ64" s="310"/>
    </row>
    <row r="65" spans="1:52" ht="15.95" customHeight="1" x14ac:dyDescent="0.25">
      <c r="A65" s="38"/>
      <c r="B65" s="591"/>
      <c r="C65" s="592"/>
      <c r="D65" s="525"/>
      <c r="E65" s="593"/>
      <c r="F65" s="594"/>
      <c r="G65" s="595"/>
      <c r="H65" s="502"/>
      <c r="I65" s="499"/>
      <c r="AM65" s="414"/>
      <c r="AN65" s="584"/>
      <c r="AO65" s="584"/>
      <c r="AP65" s="582"/>
      <c r="AR65" s="587"/>
      <c r="AT65" s="598"/>
      <c r="AU65" s="588"/>
      <c r="AZ65" s="310"/>
    </row>
    <row r="66" spans="1:52" ht="15.95" customHeight="1" x14ac:dyDescent="0.25">
      <c r="A66" s="38"/>
      <c r="B66" s="591"/>
      <c r="C66" s="592"/>
      <c r="D66" s="525"/>
      <c r="E66" s="593"/>
      <c r="F66" s="594"/>
      <c r="G66" s="595"/>
      <c r="H66" s="505"/>
      <c r="I66" s="499"/>
      <c r="AM66" s="414"/>
      <c r="AN66" s="584"/>
      <c r="AO66" s="584"/>
      <c r="AP66" s="582"/>
      <c r="AR66" s="587"/>
      <c r="AT66" s="598"/>
      <c r="AU66" s="588"/>
      <c r="AZ66" s="310"/>
    </row>
    <row r="67" spans="1:52" ht="15.95" customHeight="1" x14ac:dyDescent="0.25">
      <c r="A67" s="38"/>
      <c r="B67" s="591"/>
      <c r="C67" s="592"/>
      <c r="D67" s="525"/>
      <c r="E67" s="593"/>
      <c r="F67" s="594"/>
      <c r="G67" s="595"/>
      <c r="H67" s="501"/>
      <c r="I67" s="499"/>
      <c r="AM67" s="414"/>
      <c r="AN67" s="584"/>
      <c r="AO67" s="584"/>
      <c r="AP67" s="582"/>
      <c r="AR67" s="586"/>
      <c r="AT67" s="597"/>
      <c r="AU67" s="588"/>
      <c r="AZ67" s="310"/>
    </row>
    <row r="68" spans="1:52" ht="15.95" customHeight="1" x14ac:dyDescent="0.25">
      <c r="A68" s="38"/>
      <c r="B68" s="591"/>
      <c r="C68" s="592"/>
      <c r="D68" s="525"/>
      <c r="E68" s="593"/>
      <c r="F68" s="594"/>
      <c r="G68" s="595"/>
      <c r="H68" s="502"/>
      <c r="I68" s="499"/>
      <c r="AM68" s="414"/>
      <c r="AN68" s="584"/>
      <c r="AO68" s="584"/>
      <c r="AP68" s="582"/>
      <c r="AR68" s="587"/>
      <c r="AT68" s="598"/>
      <c r="AU68" s="588"/>
      <c r="AZ68" s="310"/>
    </row>
    <row r="69" spans="1:52" ht="15.95" customHeight="1" x14ac:dyDescent="0.25">
      <c r="A69" s="38"/>
      <c r="B69" s="591"/>
      <c r="C69" s="592"/>
      <c r="D69" s="525"/>
      <c r="E69" s="593"/>
      <c r="F69" s="594"/>
      <c r="G69" s="595"/>
      <c r="H69" s="503"/>
      <c r="I69" s="499"/>
      <c r="AM69" s="414"/>
      <c r="AN69" s="584"/>
      <c r="AO69" s="584"/>
      <c r="AP69" s="582"/>
      <c r="AR69" s="587"/>
      <c r="AT69" s="598"/>
      <c r="AU69" s="588"/>
      <c r="AZ69" s="310"/>
    </row>
    <row r="70" spans="1:52" ht="15.95" customHeight="1" x14ac:dyDescent="0.25">
      <c r="A70" s="38"/>
      <c r="B70" s="591"/>
      <c r="C70" s="592"/>
      <c r="D70" s="525"/>
      <c r="E70" s="593"/>
      <c r="F70" s="594"/>
      <c r="G70" s="595"/>
      <c r="H70" s="504"/>
      <c r="I70" s="499"/>
      <c r="AM70" s="414"/>
      <c r="AN70" s="584"/>
      <c r="AO70" s="584"/>
      <c r="AP70" s="582"/>
      <c r="AR70" s="586"/>
      <c r="AT70" s="597"/>
      <c r="AU70" s="588"/>
      <c r="AZ70" s="310"/>
    </row>
    <row r="71" spans="1:52" ht="15.95" customHeight="1" x14ac:dyDescent="0.25">
      <c r="A71" s="38"/>
      <c r="B71" s="591"/>
      <c r="C71" s="592"/>
      <c r="D71" s="525"/>
      <c r="E71" s="593"/>
      <c r="F71" s="594"/>
      <c r="G71" s="595"/>
      <c r="H71" s="502"/>
      <c r="I71" s="499"/>
      <c r="AM71" s="414"/>
      <c r="AN71" s="584"/>
      <c r="AO71" s="584"/>
      <c r="AP71" s="582"/>
      <c r="AR71" s="587"/>
      <c r="AT71" s="598"/>
      <c r="AU71" s="588"/>
      <c r="AZ71" s="310"/>
    </row>
    <row r="72" spans="1:52" ht="15.95" customHeight="1" x14ac:dyDescent="0.25">
      <c r="A72" s="38"/>
      <c r="B72" s="591"/>
      <c r="C72" s="592"/>
      <c r="D72" s="525"/>
      <c r="E72" s="593"/>
      <c r="F72" s="594"/>
      <c r="G72" s="596"/>
      <c r="H72" s="505"/>
      <c r="I72" s="499"/>
      <c r="AM72" s="415"/>
      <c r="AN72" s="585"/>
      <c r="AO72" s="585"/>
      <c r="AP72" s="583"/>
      <c r="AR72" s="587"/>
      <c r="AT72" s="598"/>
      <c r="AU72" s="589"/>
      <c r="AZ72" s="310"/>
    </row>
    <row r="73" spans="1:52" hidden="1" x14ac:dyDescent="0.25">
      <c r="B73">
        <v>1.0000000000000001E-5</v>
      </c>
      <c r="C73" t="str">
        <f>C13</f>
        <v>IRC</v>
      </c>
      <c r="D73">
        <f>IFERROR(SUM(AM13:AM15)/SUM(I13:I15),"")</f>
        <v>2.3590209047619051</v>
      </c>
      <c r="E73">
        <f>E13</f>
        <v>2.25</v>
      </c>
      <c r="F73">
        <f>F13</f>
        <v>2.8</v>
      </c>
      <c r="G73">
        <f>IFERROR(INDEX(Sheet1!E:E,MATCH(C73,Sheet1!B:B,0)),"")</f>
        <v>2.66</v>
      </c>
      <c r="I73">
        <f>SUM(I13:I15)</f>
        <v>7000</v>
      </c>
      <c r="AL73">
        <f>SUM(AL13:AL15)</f>
        <v>17000</v>
      </c>
      <c r="AM73">
        <f>SUM(AM13:AM15)</f>
        <v>16513.146333333334</v>
      </c>
      <c r="AN73" t="str">
        <f>AN13</f>
        <v>-0.94R</v>
      </c>
      <c r="AO73" t="str">
        <f>AO13</f>
        <v>2.86R</v>
      </c>
      <c r="AP73">
        <f>IFERROR(AP13+B73,"")</f>
        <v>3.0486829118153564</v>
      </c>
      <c r="AQ73">
        <f>AQ13</f>
        <v>-939.3246666666696</v>
      </c>
      <c r="AS73">
        <f>AS13</f>
        <v>2863.6936666666647</v>
      </c>
      <c r="AV73">
        <f>AV13</f>
        <v>-5.6883445934864316E-2</v>
      </c>
      <c r="AW73">
        <f>AW13</f>
        <v>0.1734190207523342</v>
      </c>
    </row>
    <row r="74" spans="1:52" hidden="1" x14ac:dyDescent="0.25">
      <c r="B74">
        <v>2.0000000000000002E-5</v>
      </c>
      <c r="C74" t="str">
        <f>C16</f>
        <v>PXP</v>
      </c>
      <c r="D74">
        <f>IFERROR(SUM(AM16:AM18)/SUM(I16:I18),"")</f>
        <v>17.163564090909095</v>
      </c>
      <c r="E74">
        <f>E16</f>
        <v>16.420000000000002</v>
      </c>
      <c r="F74">
        <f>F16</f>
        <v>19.399999999999999</v>
      </c>
      <c r="G74">
        <f>IFERROR(INDEX(Sheet1!E:E,MATCH(C74,Sheet1!B:B,0)),"")</f>
        <v>16.3</v>
      </c>
      <c r="I74">
        <f>SUM(I16:I18)</f>
        <v>1100</v>
      </c>
      <c r="AL74">
        <f>SUM(AL16:AL18)</f>
        <v>2300</v>
      </c>
      <c r="AM74">
        <f>SUM(AM16:AM18)</f>
        <v>18879.920500000004</v>
      </c>
      <c r="AN74" t="str">
        <f>AN16</f>
        <v>-1.01R</v>
      </c>
      <c r="AO74" t="str">
        <f>AO16</f>
        <v>2.23R</v>
      </c>
      <c r="AP74">
        <f>IFERROR(AP16+B74,"")</f>
        <v>2.2134634978130983</v>
      </c>
      <c r="AQ74">
        <f>AQ16</f>
        <v>-1008.7582999999995</v>
      </c>
      <c r="AS74">
        <f>AS16</f>
        <v>2232.8294999999935</v>
      </c>
      <c r="AV74">
        <f>AV16</f>
        <v>-5.3430219687630537E-2</v>
      </c>
      <c r="AW74">
        <f>AW16</f>
        <v>0.11826477235431118</v>
      </c>
    </row>
  </sheetData>
  <sheetProtection password="DF8E" sheet="1" objects="1" scenarios="1"/>
  <protectedRanges>
    <protectedRange sqref="D8:E9 AU8 AU6 AT9 AU13:AU72 B13:F72 AU4 D6 D3:E4 A1 G11 H13:H72" name="Range1"/>
  </protectedRanges>
  <mergeCells count="238">
    <mergeCell ref="D3:E3"/>
    <mergeCell ref="D4:E4"/>
    <mergeCell ref="B13:B15"/>
    <mergeCell ref="C13:C15"/>
    <mergeCell ref="E13:E15"/>
    <mergeCell ref="F13:F15"/>
    <mergeCell ref="G13:G15"/>
    <mergeCell ref="D2:E2"/>
    <mergeCell ref="D8:E8"/>
    <mergeCell ref="D9:E9"/>
    <mergeCell ref="D5:E5"/>
    <mergeCell ref="D6:E6"/>
    <mergeCell ref="D7:E7"/>
    <mergeCell ref="B11:B12"/>
    <mergeCell ref="C11:C12"/>
    <mergeCell ref="D11:D12"/>
    <mergeCell ref="E11:E12"/>
    <mergeCell ref="AU13:AU15"/>
    <mergeCell ref="AU11:AU12"/>
    <mergeCell ref="F11:F12"/>
    <mergeCell ref="G11:G12"/>
    <mergeCell ref="AN13:AN15"/>
    <mergeCell ref="AP13:AP15"/>
    <mergeCell ref="AU16:AU18"/>
    <mergeCell ref="AO13:AO15"/>
    <mergeCell ref="AR13:AR15"/>
    <mergeCell ref="AT13:AT15"/>
    <mergeCell ref="AT16:AT18"/>
    <mergeCell ref="H11:I11"/>
    <mergeCell ref="B19:B21"/>
    <mergeCell ref="C19:C21"/>
    <mergeCell ref="E19:E21"/>
    <mergeCell ref="F19:F21"/>
    <mergeCell ref="G19:G21"/>
    <mergeCell ref="AU19:AU21"/>
    <mergeCell ref="B16:B18"/>
    <mergeCell ref="C16:C18"/>
    <mergeCell ref="E16:E18"/>
    <mergeCell ref="F16:F18"/>
    <mergeCell ref="G16:G18"/>
    <mergeCell ref="AN16:AN18"/>
    <mergeCell ref="AN19:AN21"/>
    <mergeCell ref="AP16:AP18"/>
    <mergeCell ref="AP19:AP21"/>
    <mergeCell ref="AO16:AO18"/>
    <mergeCell ref="AO19:AO21"/>
    <mergeCell ref="AR16:AR18"/>
    <mergeCell ref="AR19:AR21"/>
    <mergeCell ref="AT19:AT21"/>
    <mergeCell ref="AU22:AU24"/>
    <mergeCell ref="B25:B27"/>
    <mergeCell ref="C25:C27"/>
    <mergeCell ref="E25:E27"/>
    <mergeCell ref="F25:F27"/>
    <mergeCell ref="G25:G27"/>
    <mergeCell ref="AU25:AU27"/>
    <mergeCell ref="B22:B24"/>
    <mergeCell ref="C22:C24"/>
    <mergeCell ref="E22:E24"/>
    <mergeCell ref="F22:F24"/>
    <mergeCell ref="G22:G24"/>
    <mergeCell ref="AN22:AN24"/>
    <mergeCell ref="AN25:AN27"/>
    <mergeCell ref="AP22:AP24"/>
    <mergeCell ref="AP25:AP27"/>
    <mergeCell ref="AO22:AO24"/>
    <mergeCell ref="AO25:AO27"/>
    <mergeCell ref="AR22:AR24"/>
    <mergeCell ref="AR25:AR27"/>
    <mergeCell ref="AT22:AT24"/>
    <mergeCell ref="AT25:AT27"/>
    <mergeCell ref="B31:B33"/>
    <mergeCell ref="C31:C33"/>
    <mergeCell ref="E31:E33"/>
    <mergeCell ref="F31:F33"/>
    <mergeCell ref="G31:G33"/>
    <mergeCell ref="AU31:AU33"/>
    <mergeCell ref="B28:B30"/>
    <mergeCell ref="C28:C30"/>
    <mergeCell ref="E28:E30"/>
    <mergeCell ref="F28:F30"/>
    <mergeCell ref="G28:G30"/>
    <mergeCell ref="AN28:AN30"/>
    <mergeCell ref="AN31:AN33"/>
    <mergeCell ref="AP28:AP30"/>
    <mergeCell ref="AP31:AP33"/>
    <mergeCell ref="AO28:AO30"/>
    <mergeCell ref="AO31:AO33"/>
    <mergeCell ref="AR28:AR30"/>
    <mergeCell ref="AR31:AR33"/>
    <mergeCell ref="AT28:AT30"/>
    <mergeCell ref="AT31:AT33"/>
    <mergeCell ref="B37:B39"/>
    <mergeCell ref="C37:C39"/>
    <mergeCell ref="E37:E39"/>
    <mergeCell ref="F37:F39"/>
    <mergeCell ref="G37:G39"/>
    <mergeCell ref="AU37:AU39"/>
    <mergeCell ref="B34:B36"/>
    <mergeCell ref="C34:C36"/>
    <mergeCell ref="E34:E36"/>
    <mergeCell ref="F34:F36"/>
    <mergeCell ref="G34:G36"/>
    <mergeCell ref="AN34:AN36"/>
    <mergeCell ref="AN37:AN39"/>
    <mergeCell ref="AP34:AP36"/>
    <mergeCell ref="AP37:AP39"/>
    <mergeCell ref="AO34:AO36"/>
    <mergeCell ref="AO37:AO39"/>
    <mergeCell ref="AR34:AR36"/>
    <mergeCell ref="AR37:AR39"/>
    <mergeCell ref="AT34:AT36"/>
    <mergeCell ref="AT37:AT39"/>
    <mergeCell ref="B43:B45"/>
    <mergeCell ref="C43:C45"/>
    <mergeCell ref="E43:E45"/>
    <mergeCell ref="F43:F45"/>
    <mergeCell ref="G43:G45"/>
    <mergeCell ref="AU43:AU45"/>
    <mergeCell ref="B40:B42"/>
    <mergeCell ref="C40:C42"/>
    <mergeCell ref="E40:E42"/>
    <mergeCell ref="F40:F42"/>
    <mergeCell ref="G40:G42"/>
    <mergeCell ref="AN40:AN42"/>
    <mergeCell ref="AN43:AN45"/>
    <mergeCell ref="AP40:AP42"/>
    <mergeCell ref="AP43:AP45"/>
    <mergeCell ref="AO40:AO42"/>
    <mergeCell ref="AO43:AO45"/>
    <mergeCell ref="AR40:AR42"/>
    <mergeCell ref="AR43:AR45"/>
    <mergeCell ref="AT40:AT42"/>
    <mergeCell ref="AT43:AT45"/>
    <mergeCell ref="B49:B51"/>
    <mergeCell ref="C49:C51"/>
    <mergeCell ref="E49:E51"/>
    <mergeCell ref="F49:F51"/>
    <mergeCell ref="G49:G51"/>
    <mergeCell ref="AU49:AU51"/>
    <mergeCell ref="B46:B48"/>
    <mergeCell ref="C46:C48"/>
    <mergeCell ref="E46:E48"/>
    <mergeCell ref="F46:F48"/>
    <mergeCell ref="G46:G48"/>
    <mergeCell ref="AN46:AN48"/>
    <mergeCell ref="AN49:AN51"/>
    <mergeCell ref="AP46:AP48"/>
    <mergeCell ref="AP49:AP51"/>
    <mergeCell ref="AO46:AO48"/>
    <mergeCell ref="AO49:AO51"/>
    <mergeCell ref="AT46:AT48"/>
    <mergeCell ref="AT49:AT51"/>
    <mergeCell ref="B55:B57"/>
    <mergeCell ref="C55:C57"/>
    <mergeCell ref="E55:E57"/>
    <mergeCell ref="F55:F57"/>
    <mergeCell ref="G55:G57"/>
    <mergeCell ref="AU55:AU57"/>
    <mergeCell ref="B52:B54"/>
    <mergeCell ref="C52:C54"/>
    <mergeCell ref="E52:E54"/>
    <mergeCell ref="F52:F54"/>
    <mergeCell ref="G52:G54"/>
    <mergeCell ref="AN52:AN54"/>
    <mergeCell ref="AN55:AN57"/>
    <mergeCell ref="AP52:AP54"/>
    <mergeCell ref="AP55:AP57"/>
    <mergeCell ref="AO52:AO54"/>
    <mergeCell ref="AO55:AO57"/>
    <mergeCell ref="AT52:AT54"/>
    <mergeCell ref="AT55:AT57"/>
    <mergeCell ref="B61:B63"/>
    <mergeCell ref="C61:C63"/>
    <mergeCell ref="E61:E63"/>
    <mergeCell ref="F61:F63"/>
    <mergeCell ref="G61:G63"/>
    <mergeCell ref="AU61:AU63"/>
    <mergeCell ref="B58:B60"/>
    <mergeCell ref="C58:C60"/>
    <mergeCell ref="E58:E60"/>
    <mergeCell ref="F58:F60"/>
    <mergeCell ref="G58:G60"/>
    <mergeCell ref="AN58:AN60"/>
    <mergeCell ref="AN61:AN63"/>
    <mergeCell ref="AP58:AP60"/>
    <mergeCell ref="AP61:AP63"/>
    <mergeCell ref="AO58:AO60"/>
    <mergeCell ref="AO61:AO63"/>
    <mergeCell ref="AT58:AT60"/>
    <mergeCell ref="AT61:AT63"/>
    <mergeCell ref="B70:B72"/>
    <mergeCell ref="C70:C72"/>
    <mergeCell ref="E70:E72"/>
    <mergeCell ref="F70:F72"/>
    <mergeCell ref="G70:G72"/>
    <mergeCell ref="AU64:AU66"/>
    <mergeCell ref="B67:B69"/>
    <mergeCell ref="C67:C69"/>
    <mergeCell ref="E67:E69"/>
    <mergeCell ref="F67:F69"/>
    <mergeCell ref="G67:G69"/>
    <mergeCell ref="AU67:AU69"/>
    <mergeCell ref="B64:B66"/>
    <mergeCell ref="C64:C66"/>
    <mergeCell ref="E64:E66"/>
    <mergeCell ref="F64:F66"/>
    <mergeCell ref="G64:G66"/>
    <mergeCell ref="AO64:AO66"/>
    <mergeCell ref="AO67:AO69"/>
    <mergeCell ref="AO70:AO72"/>
    <mergeCell ref="AT64:AT66"/>
    <mergeCell ref="AT67:AT69"/>
    <mergeCell ref="AT70:AT72"/>
    <mergeCell ref="AT9:AU10"/>
    <mergeCell ref="AP64:AP66"/>
    <mergeCell ref="AP67:AP69"/>
    <mergeCell ref="AP70:AP72"/>
    <mergeCell ref="AN11:AP11"/>
    <mergeCell ref="AN64:AN66"/>
    <mergeCell ref="AN67:AN69"/>
    <mergeCell ref="AN70:AN72"/>
    <mergeCell ref="AR46:AR48"/>
    <mergeCell ref="AR49:AR51"/>
    <mergeCell ref="AR52:AR54"/>
    <mergeCell ref="AR55:AR57"/>
    <mergeCell ref="AR58:AR60"/>
    <mergeCell ref="AR61:AR63"/>
    <mergeCell ref="AR64:AR66"/>
    <mergeCell ref="AR67:AR69"/>
    <mergeCell ref="AR70:AR72"/>
    <mergeCell ref="AU70:AU72"/>
    <mergeCell ref="AU58:AU60"/>
    <mergeCell ref="AU52:AU54"/>
    <mergeCell ref="AU46:AU48"/>
    <mergeCell ref="AU40:AU42"/>
    <mergeCell ref="AU34:AU36"/>
    <mergeCell ref="AU28:AU30"/>
  </mergeCells>
  <conditionalFormatting sqref="AM13:AM72">
    <cfRule type="containsText" dxfId="158" priority="497" operator="containsText" text="entry">
      <formula>NOT(ISERROR(SEARCH("entry",AM13)))</formula>
    </cfRule>
  </conditionalFormatting>
  <conditionalFormatting sqref="G13:H13">
    <cfRule type="containsText" dxfId="157" priority="496" operator="containsText" text="entry">
      <formula>NOT(ISERROR(SEARCH("entry",G13)))</formula>
    </cfRule>
  </conditionalFormatting>
  <conditionalFormatting sqref="AP13:AP72">
    <cfRule type="dataBar" priority="431">
      <dataBar>
        <cfvo type="min"/>
        <cfvo type="max"/>
        <color rgb="FF00B050"/>
      </dataBar>
      <extLst>
        <ext xmlns:x14="http://schemas.microsoft.com/office/spreadsheetml/2009/9/main" uri="{B025F937-C7B1-47D3-B67F-A62EFF666E3E}">
          <x14:id>{AB3CA791-D86A-47FE-B057-CDF2BCC0DB34}</x14:id>
        </ext>
      </extLst>
    </cfRule>
  </conditionalFormatting>
  <conditionalFormatting sqref="I13:I72">
    <cfRule type="cellIs" dxfId="156" priority="336" operator="lessThan">
      <formula>0</formula>
    </cfRule>
  </conditionalFormatting>
  <conditionalFormatting sqref="G22">
    <cfRule type="containsText" dxfId="155" priority="308" operator="containsText" text="entry">
      <formula>NOT(ISERROR(SEARCH("entry",G22)))</formula>
    </cfRule>
  </conditionalFormatting>
  <conditionalFormatting sqref="G22">
    <cfRule type="containsText" dxfId="154" priority="307" operator="containsText" text="entry">
      <formula>NOT(ISERROR(SEARCH("entry",G22)))</formula>
    </cfRule>
  </conditionalFormatting>
  <conditionalFormatting sqref="G25:H25 G28:H28 G31:H31 G34:H34 G37:H37 G40:H40 G43:H43 G46:H46 G49:H49 G52:H52 G55:H55 G58:H58 G61:H61 G64:H64 G67:H67 G70:H70">
    <cfRule type="containsText" dxfId="153" priority="305" operator="containsText" text="entry">
      <formula>NOT(ISERROR(SEARCH("entry",G25)))</formula>
    </cfRule>
  </conditionalFormatting>
  <conditionalFormatting sqref="G16:H16">
    <cfRule type="containsText" dxfId="152" priority="325" operator="containsText" text="entry">
      <formula>NOT(ISERROR(SEARCH("entry",G16)))</formula>
    </cfRule>
  </conditionalFormatting>
  <conditionalFormatting sqref="G16:H16">
    <cfRule type="containsText" dxfId="151" priority="324" operator="containsText" text="entry">
      <formula>NOT(ISERROR(SEARCH("entry",G16)))</formula>
    </cfRule>
  </conditionalFormatting>
  <conditionalFormatting sqref="G19:H19">
    <cfRule type="containsText" dxfId="150" priority="310" operator="containsText" text="entry">
      <formula>NOT(ISERROR(SEARCH("entry",G19)))</formula>
    </cfRule>
  </conditionalFormatting>
  <conditionalFormatting sqref="G19:H19">
    <cfRule type="containsText" dxfId="149" priority="309" operator="containsText" text="entry">
      <formula>NOT(ISERROR(SEARCH("entry",G19)))</formula>
    </cfRule>
  </conditionalFormatting>
  <conditionalFormatting sqref="G25:H25 G28:H28 G31:H31 G34:H34 G37:H37 G40:H40 G43:H43 G46:H46 G49:H49 G52:H52 G55:H55 G58:H58 G61:H61 G64:H64 G67:H67 G70:H70">
    <cfRule type="containsText" dxfId="148" priority="306" operator="containsText" text="entry">
      <formula>NOT(ISERROR(SEARCH("entry",G25)))</formula>
    </cfRule>
  </conditionalFormatting>
  <conditionalFormatting sqref="H4:H8">
    <cfRule type="cellIs" dxfId="147" priority="303" operator="equal">
      <formula>0</formula>
    </cfRule>
  </conditionalFormatting>
  <conditionalFormatting sqref="I4:I8">
    <cfRule type="expression" dxfId="146" priority="297">
      <formula>OR(AP4="",AP4&lt;=0)</formula>
    </cfRule>
    <cfRule type="expression" dxfId="145" priority="298">
      <formula>OR(AP4&lt;=AN4,AP4&gt;=AM4,AP4&gt;=AO4)</formula>
    </cfRule>
  </conditionalFormatting>
  <conditionalFormatting sqref="AM4:AM8">
    <cfRule type="cellIs" dxfId="144" priority="296" operator="equal">
      <formula>0</formula>
    </cfRule>
  </conditionalFormatting>
  <conditionalFormatting sqref="AM4:AM8">
    <cfRule type="expression" dxfId="143" priority="293">
      <formula>OR(AP4="",AP4&lt;=0)</formula>
    </cfRule>
    <cfRule type="expression" dxfId="142" priority="294">
      <formula>OR(AP4&lt;=AN4,AP4&gt;=AO4,AP4&gt;=AM4)</formula>
    </cfRule>
    <cfRule type="expression" dxfId="141" priority="295">
      <formula>AND(AP4&gt;=AM4,AP4&lt;AO4)</formula>
    </cfRule>
  </conditionalFormatting>
  <conditionalFormatting sqref="AN4:AN8">
    <cfRule type="expression" dxfId="140" priority="290">
      <formula>OR(AP4="",AP4&lt;=0)</formula>
    </cfRule>
    <cfRule type="expression" dxfId="139" priority="291">
      <formula>OR(AP4&lt;=AN4,AP4&gt;=AO4,AP4&gt;=AM4)</formula>
    </cfRule>
    <cfRule type="expression" dxfId="138" priority="292">
      <formula>AP4&lt;=AN4</formula>
    </cfRule>
  </conditionalFormatting>
  <conditionalFormatting sqref="AO4:AO8">
    <cfRule type="expression" dxfId="137" priority="287">
      <formula>OR(AP4="",AP4&lt;=0)</formula>
    </cfRule>
    <cfRule type="expression" dxfId="136" priority="288">
      <formula>OR(AP4&lt;=AN4,AP4&gt;=AO4,AP4&gt;=AM4)</formula>
    </cfRule>
    <cfRule type="expression" dxfId="135" priority="289">
      <formula>AP4&gt;=AO4</formula>
    </cfRule>
  </conditionalFormatting>
  <conditionalFormatting sqref="AP4:AP8">
    <cfRule type="expression" dxfId="134" priority="284">
      <formula>OR(AP4="",AP4&lt;=0)</formula>
    </cfRule>
    <cfRule type="expression" dxfId="133" priority="285">
      <formula>OR(AP4&lt;=AN4,AP4&gt;=AO4,AP4&gt;=AM4)</formula>
    </cfRule>
    <cfRule type="cellIs" dxfId="132" priority="286" operator="equal">
      <formula>0</formula>
    </cfRule>
  </conditionalFormatting>
  <conditionalFormatting sqref="G9:I10 AM9:AR10">
    <cfRule type="expression" dxfId="131" priority="235">
      <formula>$F$9&gt;0.025</formula>
    </cfRule>
  </conditionalFormatting>
  <conditionalFormatting sqref="D22:D24">
    <cfRule type="expression" dxfId="130" priority="225">
      <formula>AM22="Invalid Entry"</formula>
    </cfRule>
  </conditionalFormatting>
  <conditionalFormatting sqref="D13:D15">
    <cfRule type="expression" dxfId="129" priority="205">
      <formula>AM13="Invalid Entry"</formula>
    </cfRule>
  </conditionalFormatting>
  <conditionalFormatting sqref="D16:D18">
    <cfRule type="expression" dxfId="128" priority="200">
      <formula>AM16="Invalid Entry"</formula>
    </cfRule>
  </conditionalFormatting>
  <conditionalFormatting sqref="D19:D21">
    <cfRule type="expression" dxfId="127" priority="195">
      <formula>AM19="Invalid Entry"</formula>
    </cfRule>
  </conditionalFormatting>
  <conditionalFormatting sqref="E13:E24">
    <cfRule type="expression" dxfId="126" priority="113">
      <formula>OR(C13="",E13="")</formula>
    </cfRule>
    <cfRule type="expression" dxfId="125" priority="114">
      <formula>G13&lt;=E13</formula>
    </cfRule>
  </conditionalFormatting>
  <conditionalFormatting sqref="F13:F24">
    <cfRule type="expression" dxfId="124" priority="111">
      <formula>OR(C13="",F13="")</formula>
    </cfRule>
    <cfRule type="expression" dxfId="123" priority="112">
      <formula>G13&gt;=F13</formula>
    </cfRule>
  </conditionalFormatting>
  <conditionalFormatting sqref="AR13 AR16 AR19 AR22 AR25 AR28 AR31 AR34 AR37 AR40 AR43 AR46 AR49 AR52 AR55 AR58 AR61 AR64 AR67 AR70">
    <cfRule type="containsText" dxfId="122" priority="90" operator="containsText" text="entry">
      <formula>NOT(ISERROR(SEARCH("entry",AR13)))</formula>
    </cfRule>
  </conditionalFormatting>
  <conditionalFormatting sqref="AT13 AT16 AT19 AT22 AT25 AT28 AT31 AT34 AT37 AT40 AT43 AT46 AT49 AT52 AT55 AT58 AT61 AT64 AT67 AT70">
    <cfRule type="containsText" dxfId="121" priority="87" operator="containsText" text="entry">
      <formula>NOT(ISERROR(SEARCH("entry",AT13)))</formula>
    </cfRule>
  </conditionalFormatting>
  <conditionalFormatting sqref="AT4:AT8">
    <cfRule type="expression" dxfId="120" priority="278">
      <formula>OR(AP4="",AP4&lt;=0)</formula>
    </cfRule>
    <cfRule type="expression" dxfId="119" priority="279">
      <formula>OR(AP4&lt;=AN4,AP4&gt;=AM4,AP4&gt;=AO4)</formula>
    </cfRule>
  </conditionalFormatting>
  <conditionalFormatting sqref="H22">
    <cfRule type="containsText" dxfId="118" priority="84" operator="containsText" text="entry">
      <formula>NOT(ISERROR(SEARCH("entry",H22)))</formula>
    </cfRule>
  </conditionalFormatting>
  <conditionalFormatting sqref="H22">
    <cfRule type="containsText" dxfId="117" priority="83" operator="containsText" text="entry">
      <formula>NOT(ISERROR(SEARCH("entry",H22)))</formula>
    </cfRule>
  </conditionalFormatting>
  <conditionalFormatting sqref="H4:H8">
    <cfRule type="expression" dxfId="116" priority="509">
      <formula>OR(AP4="",AP4&lt;=0)</formula>
    </cfRule>
    <cfRule type="expression" dxfId="115" priority="510">
      <formula>AND(AP4&gt;=AM4,AP4&lt;AO4)</formula>
    </cfRule>
    <cfRule type="expression" dxfId="114" priority="511">
      <formula>AND(AP4&gt;=AO4,AP4&gt;0)</formula>
    </cfRule>
    <cfRule type="expression" dxfId="113" priority="512">
      <formula>AP4&lt;=AN4</formula>
    </cfRule>
  </conditionalFormatting>
  <conditionalFormatting sqref="AR4:AR8">
    <cfRule type="expression" dxfId="112" priority="81">
      <formula>OR(AP4="",AP4&lt;=0)</formula>
    </cfRule>
    <cfRule type="expression" dxfId="111" priority="82">
      <formula>OR(AP4&lt;=AN4,AP4&gt;=AO4,AP4&gt;=AM4)</formula>
    </cfRule>
  </conditionalFormatting>
  <conditionalFormatting sqref="D25:D27">
    <cfRule type="expression" dxfId="110" priority="80">
      <formula>AM25="Invalid Entry"</formula>
    </cfRule>
  </conditionalFormatting>
  <conditionalFormatting sqref="E25:E27">
    <cfRule type="expression" dxfId="109" priority="78">
      <formula>OR(C25="",E25="")</formula>
    </cfRule>
    <cfRule type="expression" dxfId="108" priority="79">
      <formula>G25&lt;=E25</formula>
    </cfRule>
  </conditionalFormatting>
  <conditionalFormatting sqref="F25:F27">
    <cfRule type="expression" dxfId="107" priority="76">
      <formula>OR(C25="",F25="")</formula>
    </cfRule>
    <cfRule type="expression" dxfId="106" priority="77">
      <formula>G25&gt;=F25</formula>
    </cfRule>
  </conditionalFormatting>
  <conditionalFormatting sqref="D28:D30">
    <cfRule type="expression" dxfId="105" priority="75">
      <formula>AM28="Invalid Entry"</formula>
    </cfRule>
  </conditionalFormatting>
  <conditionalFormatting sqref="E28:E30">
    <cfRule type="expression" dxfId="104" priority="73">
      <formula>OR(C28="",E28="")</formula>
    </cfRule>
    <cfRule type="expression" dxfId="103" priority="74">
      <formula>G28&lt;=E28</formula>
    </cfRule>
  </conditionalFormatting>
  <conditionalFormatting sqref="F28:F30">
    <cfRule type="expression" dxfId="102" priority="71">
      <formula>OR(C28="",F28="")</formula>
    </cfRule>
    <cfRule type="expression" dxfId="101" priority="72">
      <formula>G28&gt;=F28</formula>
    </cfRule>
  </conditionalFormatting>
  <conditionalFormatting sqref="D31:D33">
    <cfRule type="expression" dxfId="100" priority="70">
      <formula>AM31="Invalid Entry"</formula>
    </cfRule>
  </conditionalFormatting>
  <conditionalFormatting sqref="E31:E33">
    <cfRule type="expression" dxfId="99" priority="68">
      <formula>OR(C31="",E31="")</formula>
    </cfRule>
    <cfRule type="expression" dxfId="98" priority="69">
      <formula>G31&lt;=E31</formula>
    </cfRule>
  </conditionalFormatting>
  <conditionalFormatting sqref="F31:F33">
    <cfRule type="expression" dxfId="97" priority="66">
      <formula>OR(C31="",F31="")</formula>
    </cfRule>
    <cfRule type="expression" dxfId="96" priority="67">
      <formula>G31&gt;=F31</formula>
    </cfRule>
  </conditionalFormatting>
  <conditionalFormatting sqref="D34:D36">
    <cfRule type="expression" dxfId="95" priority="65">
      <formula>AM34="Invalid Entry"</formula>
    </cfRule>
  </conditionalFormatting>
  <conditionalFormatting sqref="E34:E36">
    <cfRule type="expression" dxfId="94" priority="63">
      <formula>OR(C34="",E34="")</formula>
    </cfRule>
    <cfRule type="expression" dxfId="93" priority="64">
      <formula>G34&lt;=E34</formula>
    </cfRule>
  </conditionalFormatting>
  <conditionalFormatting sqref="F34:F36">
    <cfRule type="expression" dxfId="92" priority="61">
      <formula>OR(C34="",F34="")</formula>
    </cfRule>
    <cfRule type="expression" dxfId="91" priority="62">
      <formula>G34&gt;=F34</formula>
    </cfRule>
  </conditionalFormatting>
  <conditionalFormatting sqref="D37:D39">
    <cfRule type="expression" dxfId="90" priority="60">
      <formula>AM37="Invalid Entry"</formula>
    </cfRule>
  </conditionalFormatting>
  <conditionalFormatting sqref="E37:E39">
    <cfRule type="expression" dxfId="89" priority="58">
      <formula>OR(C37="",E37="")</formula>
    </cfRule>
    <cfRule type="expression" dxfId="88" priority="59">
      <formula>G37&lt;=E37</formula>
    </cfRule>
  </conditionalFormatting>
  <conditionalFormatting sqref="F37:F39">
    <cfRule type="expression" dxfId="87" priority="56">
      <formula>OR(C37="",F37="")</formula>
    </cfRule>
    <cfRule type="expression" dxfId="86" priority="57">
      <formula>G37&gt;=F37</formula>
    </cfRule>
  </conditionalFormatting>
  <conditionalFormatting sqref="D40:D42">
    <cfRule type="expression" dxfId="85" priority="55">
      <formula>AM40="Invalid Entry"</formula>
    </cfRule>
  </conditionalFormatting>
  <conditionalFormatting sqref="E40:E42">
    <cfRule type="expression" dxfId="84" priority="53">
      <formula>OR(C40="",E40="")</formula>
    </cfRule>
    <cfRule type="expression" dxfId="83" priority="54">
      <formula>G40&lt;=E40</formula>
    </cfRule>
  </conditionalFormatting>
  <conditionalFormatting sqref="F40:F42">
    <cfRule type="expression" dxfId="82" priority="51">
      <formula>OR(C40="",F40="")</formula>
    </cfRule>
    <cfRule type="expression" dxfId="81" priority="52">
      <formula>G40&gt;=F40</formula>
    </cfRule>
  </conditionalFormatting>
  <conditionalFormatting sqref="D43:D45">
    <cfRule type="expression" dxfId="80" priority="50">
      <formula>AM43="Invalid Entry"</formula>
    </cfRule>
  </conditionalFormatting>
  <conditionalFormatting sqref="E43:E45">
    <cfRule type="expression" dxfId="79" priority="48">
      <formula>OR(C43="",E43="")</formula>
    </cfRule>
    <cfRule type="expression" dxfId="78" priority="49">
      <formula>G43&lt;=E43</formula>
    </cfRule>
  </conditionalFormatting>
  <conditionalFormatting sqref="F43:F45">
    <cfRule type="expression" dxfId="77" priority="46">
      <formula>OR(C43="",F43="")</formula>
    </cfRule>
    <cfRule type="expression" dxfId="76" priority="47">
      <formula>G43&gt;=F43</formula>
    </cfRule>
  </conditionalFormatting>
  <conditionalFormatting sqref="D46:D48">
    <cfRule type="expression" dxfId="75" priority="45">
      <formula>AM46="Invalid Entry"</formula>
    </cfRule>
  </conditionalFormatting>
  <conditionalFormatting sqref="E46:E48">
    <cfRule type="expression" dxfId="74" priority="43">
      <formula>OR(C46="",E46="")</formula>
    </cfRule>
    <cfRule type="expression" dxfId="73" priority="44">
      <formula>G46&lt;=E46</formula>
    </cfRule>
  </conditionalFormatting>
  <conditionalFormatting sqref="F46:F48">
    <cfRule type="expression" dxfId="72" priority="41">
      <formula>OR(C46="",F46="")</formula>
    </cfRule>
    <cfRule type="expression" dxfId="71" priority="42">
      <formula>G46&gt;=F46</formula>
    </cfRule>
  </conditionalFormatting>
  <conditionalFormatting sqref="D49:D51">
    <cfRule type="expression" dxfId="70" priority="40">
      <formula>AM49="Invalid Entry"</formula>
    </cfRule>
  </conditionalFormatting>
  <conditionalFormatting sqref="E49:E51">
    <cfRule type="expression" dxfId="69" priority="38">
      <formula>OR(C49="",E49="")</formula>
    </cfRule>
    <cfRule type="expression" dxfId="68" priority="39">
      <formula>G49&lt;=E49</formula>
    </cfRule>
  </conditionalFormatting>
  <conditionalFormatting sqref="F49:F51">
    <cfRule type="expression" dxfId="67" priority="36">
      <formula>OR(C49="",F49="")</formula>
    </cfRule>
    <cfRule type="expression" dxfId="66" priority="37">
      <formula>G49&gt;=F49</formula>
    </cfRule>
  </conditionalFormatting>
  <conditionalFormatting sqref="D52:D54">
    <cfRule type="expression" dxfId="65" priority="35">
      <formula>AM52="Invalid Entry"</formula>
    </cfRule>
  </conditionalFormatting>
  <conditionalFormatting sqref="E52:E54">
    <cfRule type="expression" dxfId="64" priority="33">
      <formula>OR(C52="",E52="")</formula>
    </cfRule>
    <cfRule type="expression" dxfId="63" priority="34">
      <formula>G52&lt;=E52</formula>
    </cfRule>
  </conditionalFormatting>
  <conditionalFormatting sqref="F52:F54">
    <cfRule type="expression" dxfId="62" priority="31">
      <formula>OR(C52="",F52="")</formula>
    </cfRule>
    <cfRule type="expression" dxfId="61" priority="32">
      <formula>G52&gt;=F52</formula>
    </cfRule>
  </conditionalFormatting>
  <conditionalFormatting sqref="D55:D57">
    <cfRule type="expression" dxfId="60" priority="30">
      <formula>AM55="Invalid Entry"</formula>
    </cfRule>
  </conditionalFormatting>
  <conditionalFormatting sqref="E55:E57">
    <cfRule type="expression" dxfId="59" priority="28">
      <formula>OR(C55="",E55="")</formula>
    </cfRule>
    <cfRule type="expression" dxfId="58" priority="29">
      <formula>G55&lt;=E55</formula>
    </cfRule>
  </conditionalFormatting>
  <conditionalFormatting sqref="F55:F57">
    <cfRule type="expression" dxfId="57" priority="26">
      <formula>OR(C55="",F55="")</formula>
    </cfRule>
    <cfRule type="expression" dxfId="56" priority="27">
      <formula>G55&gt;=F55</formula>
    </cfRule>
  </conditionalFormatting>
  <conditionalFormatting sqref="D58:D60">
    <cfRule type="expression" dxfId="55" priority="25">
      <formula>AM58="Invalid Entry"</formula>
    </cfRule>
  </conditionalFormatting>
  <conditionalFormatting sqref="E58:E60">
    <cfRule type="expression" dxfId="54" priority="23">
      <formula>OR(C58="",E58="")</formula>
    </cfRule>
    <cfRule type="expression" dxfId="53" priority="24">
      <formula>G58&lt;=E58</formula>
    </cfRule>
  </conditionalFormatting>
  <conditionalFormatting sqref="F58:F60">
    <cfRule type="expression" dxfId="52" priority="21">
      <formula>OR(C58="",F58="")</formula>
    </cfRule>
    <cfRule type="expression" dxfId="51" priority="22">
      <formula>G58&gt;=F58</formula>
    </cfRule>
  </conditionalFormatting>
  <conditionalFormatting sqref="D61:D63">
    <cfRule type="expression" dxfId="50" priority="20">
      <formula>AM61="Invalid Entry"</formula>
    </cfRule>
  </conditionalFormatting>
  <conditionalFormatting sqref="E61:E63">
    <cfRule type="expression" dxfId="49" priority="18">
      <formula>OR(C61="",E61="")</formula>
    </cfRule>
    <cfRule type="expression" dxfId="48" priority="19">
      <formula>G61&lt;=E61</formula>
    </cfRule>
  </conditionalFormatting>
  <conditionalFormatting sqref="F61:F63">
    <cfRule type="expression" dxfId="47" priority="16">
      <formula>OR(C61="",F61="")</formula>
    </cfRule>
    <cfRule type="expression" dxfId="46" priority="17">
      <formula>G61&gt;=F61</formula>
    </cfRule>
  </conditionalFormatting>
  <conditionalFormatting sqref="D64:D66">
    <cfRule type="expression" dxfId="45" priority="15">
      <formula>AM64="Invalid Entry"</formula>
    </cfRule>
  </conditionalFormatting>
  <conditionalFormatting sqref="E64:E66">
    <cfRule type="expression" dxfId="44" priority="13">
      <formula>OR(C64="",E64="")</formula>
    </cfRule>
    <cfRule type="expression" dxfId="43" priority="14">
      <formula>G64&lt;=E64</formula>
    </cfRule>
  </conditionalFormatting>
  <conditionalFormatting sqref="F64:F66">
    <cfRule type="expression" dxfId="42" priority="11">
      <formula>OR(C64="",F64="")</formula>
    </cfRule>
    <cfRule type="expression" dxfId="41" priority="12">
      <formula>G64&gt;=F64</formula>
    </cfRule>
  </conditionalFormatting>
  <conditionalFormatting sqref="D67:D69">
    <cfRule type="expression" dxfId="40" priority="10">
      <formula>AM67="Invalid Entry"</formula>
    </cfRule>
  </conditionalFormatting>
  <conditionalFormatting sqref="E67:E69">
    <cfRule type="expression" dxfId="39" priority="8">
      <formula>OR(C67="",E67="")</formula>
    </cfRule>
    <cfRule type="expression" dxfId="38" priority="9">
      <formula>G67&lt;=E67</formula>
    </cfRule>
  </conditionalFormatting>
  <conditionalFormatting sqref="F67:F69">
    <cfRule type="expression" dxfId="37" priority="6">
      <formula>OR(C67="",F67="")</formula>
    </cfRule>
    <cfRule type="expression" dxfId="36" priority="7">
      <formula>G67&gt;=F67</formula>
    </cfRule>
  </conditionalFormatting>
  <conditionalFormatting sqref="D70:D72">
    <cfRule type="expression" dxfId="35" priority="5">
      <formula>AM70="Invalid Entry"</formula>
    </cfRule>
  </conditionalFormatting>
  <conditionalFormatting sqref="E70:E72">
    <cfRule type="expression" dxfId="34" priority="3">
      <formula>OR(C70="",E70="")</formula>
    </cfRule>
    <cfRule type="expression" dxfId="33" priority="4">
      <formula>G70&lt;=E70</formula>
    </cfRule>
  </conditionalFormatting>
  <conditionalFormatting sqref="F70:F72">
    <cfRule type="expression" dxfId="32" priority="1">
      <formula>OR(C70="",F70="")</formula>
    </cfRule>
    <cfRule type="expression" dxfId="31" priority="2">
      <formula>G70&gt;=F70</formula>
    </cfRule>
  </conditionalFormatting>
  <dataValidations count="5">
    <dataValidation type="list" allowBlank="1" showInputMessage="1" showErrorMessage="1" sqref="D8" xr:uid="{00000000-0002-0000-0300-000000000000}">
      <formula1>$BB$4:$BB$5</formula1>
    </dataValidation>
    <dataValidation allowBlank="1" showInputMessage="1" showErrorMessage="1" prompt="Risk Reward Ratio" sqref="AO12" xr:uid="{00000000-0002-0000-0300-000001000000}"/>
    <dataValidation type="list" allowBlank="1" showInputMessage="1" showErrorMessage="1" sqref="D9" xr:uid="{00000000-0002-0000-0300-000002000000}">
      <formula1>$BB$2:$BB$3</formula1>
    </dataValidation>
    <dataValidation type="list" allowBlank="1" showInputMessage="1" showErrorMessage="1" sqref="G11:G12" xr:uid="{00000000-0002-0000-0300-000003000000}">
      <formula1>$BB$6:$BB$7</formula1>
    </dataValidation>
    <dataValidation allowBlank="1" showInputMessage="1" showErrorMessage="1" prompt="Enter actual shares to_x000a_overwrite auto calculation." sqref="H12" xr:uid="{9E6FA70E-F3B2-4F7B-8748-0AFE4BA63397}"/>
  </dataValidations>
  <pageMargins left="0.7" right="0.7" top="0.75" bottom="0.75" header="0.3" footer="0.3"/>
  <pageSetup orientation="portrait" verticalDpi="1200" r:id="rId1"/>
  <drawing r:id="rId2"/>
  <extLst>
    <ext xmlns:x14="http://schemas.microsoft.com/office/spreadsheetml/2009/9/main" uri="{78C0D931-6437-407d-A8EE-F0AAD7539E65}">
      <x14:conditionalFormattings>
        <x14:conditionalFormatting xmlns:xm="http://schemas.microsoft.com/office/excel/2006/main">
          <x14:cfRule type="dataBar" id="{AB3CA791-D86A-47FE-B057-CDF2BCC0DB34}">
            <x14:dataBar minLength="0" maxLength="100" gradient="0">
              <x14:cfvo type="autoMin"/>
              <x14:cfvo type="autoMax"/>
              <x14:negativeFillColor rgb="FFFF0000"/>
              <x14:axisColor rgb="FF000000"/>
            </x14:dataBar>
          </x14:cfRule>
          <xm:sqref>AP13:AP72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sheetPr>
  <dimension ref="A1:BY187"/>
  <sheetViews>
    <sheetView showGridLines="0" showRowColHeaders="0" zoomScaleNormal="100" workbookViewId="0">
      <pane ySplit="15" topLeftCell="A16" activePane="bottomLeft" state="frozen"/>
      <selection sqref="A1:AX1"/>
      <selection pane="bottomLeft" activeCell="C10" sqref="C10"/>
    </sheetView>
  </sheetViews>
  <sheetFormatPr defaultColWidth="0" defaultRowHeight="15" x14ac:dyDescent="0.25"/>
  <cols>
    <col min="1" max="1" width="3.42578125" style="10" customWidth="1"/>
    <col min="2" max="2" width="21" style="16" customWidth="1"/>
    <col min="3" max="4" width="19.28515625" style="16" customWidth="1"/>
    <col min="5" max="5" width="18.28515625" style="16" customWidth="1"/>
    <col min="6" max="6" width="6" style="10" customWidth="1"/>
    <col min="7" max="7" width="6.85546875" style="10" customWidth="1"/>
    <col min="8" max="8" width="16" style="10" customWidth="1"/>
    <col min="9" max="9" width="6.85546875" style="10" customWidth="1"/>
    <col min="10" max="10" width="16" style="10" customWidth="1"/>
    <col min="11" max="11" width="7.42578125" style="10" customWidth="1"/>
    <col min="12" max="14" width="16" style="10" customWidth="1"/>
    <col min="15" max="15" width="3.85546875" style="10" customWidth="1"/>
    <col min="16" max="16" width="11.5703125" hidden="1" customWidth="1"/>
    <col min="17" max="35" width="9.140625" hidden="1" customWidth="1"/>
    <col min="36" max="36" width="1" customWidth="1"/>
    <col min="37" max="16384" width="8.28515625" hidden="1"/>
  </cols>
  <sheetData>
    <row r="1" spans="1:36" ht="15.75" customHeight="1" x14ac:dyDescent="0.25">
      <c r="A1" s="286"/>
      <c r="B1" s="285"/>
      <c r="C1" s="283"/>
      <c r="D1" s="283"/>
      <c r="E1" s="283"/>
      <c r="F1" s="282"/>
      <c r="G1" s="282"/>
      <c r="H1" s="284"/>
      <c r="I1" s="284"/>
      <c r="J1" s="284"/>
      <c r="K1" s="274"/>
      <c r="L1" s="274"/>
      <c r="M1" s="274"/>
      <c r="N1" s="274"/>
      <c r="O1" s="274"/>
      <c r="AJ1" s="30"/>
    </row>
    <row r="2" spans="1:36" ht="18.75" x14ac:dyDescent="0.3">
      <c r="A2" s="51"/>
      <c r="B2" s="209" t="s">
        <v>183</v>
      </c>
      <c r="C2" s="638" t="str">
        <f>REGNAME</f>
        <v>Trial Version</v>
      </c>
      <c r="D2" s="638"/>
      <c r="E2" s="223"/>
      <c r="F2" s="53"/>
      <c r="G2" s="641" t="str">
        <f>C6</f>
        <v>Strategy 1</v>
      </c>
      <c r="H2" s="641"/>
      <c r="I2" s="649" t="str">
        <f>D6</f>
        <v>Strategy 2</v>
      </c>
      <c r="J2" s="649"/>
      <c r="K2" s="635" t="s">
        <v>601</v>
      </c>
      <c r="L2" s="635"/>
      <c r="M2" s="635"/>
      <c r="N2" s="635"/>
      <c r="O2" s="38"/>
      <c r="AJ2" s="30"/>
    </row>
    <row r="3" spans="1:36" ht="15.75" x14ac:dyDescent="0.25">
      <c r="A3" s="51"/>
      <c r="B3" s="209" t="s">
        <v>185</v>
      </c>
      <c r="C3" s="639">
        <v>100000</v>
      </c>
      <c r="D3" s="639"/>
      <c r="E3" s="429"/>
      <c r="F3" s="55" t="s">
        <v>186</v>
      </c>
      <c r="G3" s="642" t="str">
        <f ca="1">T4 &amp;"/"&amp;C4</f>
        <v>25/100</v>
      </c>
      <c r="H3" s="643"/>
      <c r="I3" s="643" t="str">
        <f ca="1">U4 &amp;"/"&amp;C4</f>
        <v>30/100</v>
      </c>
      <c r="J3" s="650"/>
      <c r="K3" s="54"/>
      <c r="L3" s="38"/>
      <c r="M3" s="38"/>
      <c r="N3" s="38"/>
      <c r="O3" s="38"/>
      <c r="AJ3" s="30"/>
    </row>
    <row r="4" spans="1:36" ht="15.75" x14ac:dyDescent="0.25">
      <c r="A4" s="51"/>
      <c r="B4" s="209" t="s">
        <v>193</v>
      </c>
      <c r="C4" s="640">
        <v>100</v>
      </c>
      <c r="D4" s="640"/>
      <c r="E4" s="225"/>
      <c r="F4" s="55" t="s">
        <v>187</v>
      </c>
      <c r="G4" s="644" t="str">
        <f ca="1">C4-T4&amp;"/"&amp;C4</f>
        <v>75/100</v>
      </c>
      <c r="H4" s="645"/>
      <c r="I4" s="645" t="str">
        <f ca="1">C4-U4&amp;"/"&amp;C4</f>
        <v>70/100</v>
      </c>
      <c r="J4" s="651"/>
      <c r="K4" s="54"/>
      <c r="L4" s="56"/>
      <c r="M4" s="38"/>
      <c r="N4" s="38"/>
      <c r="O4" s="38"/>
      <c r="T4">
        <f ca="1">COUNTIF($K$17:$K$116,$C$8)</f>
        <v>25</v>
      </c>
      <c r="U4">
        <f ca="1">COUNTIF($AH$17:$AH$116,$D$8)</f>
        <v>30</v>
      </c>
      <c r="AJ4" s="30"/>
    </row>
    <row r="5" spans="1:36" ht="15.75" x14ac:dyDescent="0.25">
      <c r="A5" s="51"/>
      <c r="B5" s="51"/>
      <c r="C5" s="51"/>
      <c r="D5" s="51"/>
      <c r="E5" s="51"/>
      <c r="F5" s="52" t="s">
        <v>184</v>
      </c>
      <c r="G5" s="618" t="str">
        <f>IFERROR("1 : "&amp;TEXT((C8*C7)/(-C9*C7),"#.00"),0)</f>
        <v>1 : 3.20</v>
      </c>
      <c r="H5" s="619"/>
      <c r="I5" s="619" t="str">
        <f>IFERROR("1 : "&amp;TEXT((D8*D7)/(-D9*D7),"#.00"),0)</f>
        <v>1 : 3.75</v>
      </c>
      <c r="J5" s="624"/>
      <c r="K5" s="54"/>
      <c r="L5" s="56"/>
      <c r="M5" s="38"/>
      <c r="N5" s="38"/>
      <c r="O5" s="38"/>
      <c r="T5">
        <f ca="1">C4-T4</f>
        <v>75</v>
      </c>
      <c r="U5">
        <f ca="1">C4-U4</f>
        <v>70</v>
      </c>
      <c r="Y5">
        <f ca="1">H17</f>
        <v>40000</v>
      </c>
      <c r="AJ5" s="30"/>
    </row>
    <row r="6" spans="1:36" ht="15.75" x14ac:dyDescent="0.25">
      <c r="A6" s="51"/>
      <c r="B6" s="214" t="s">
        <v>446</v>
      </c>
      <c r="C6" s="215" t="s">
        <v>703</v>
      </c>
      <c r="D6" s="216" t="s">
        <v>704</v>
      </c>
      <c r="E6" s="226"/>
      <c r="F6" s="57" t="s">
        <v>444</v>
      </c>
      <c r="G6" s="620">
        <f>(C8*C10)</f>
        <v>8.3999999999999991E-2</v>
      </c>
      <c r="H6" s="621"/>
      <c r="I6" s="621">
        <f>(D8*D10)</f>
        <v>0.06</v>
      </c>
      <c r="J6" s="625"/>
      <c r="K6" s="54"/>
      <c r="L6" s="56"/>
      <c r="M6" s="38"/>
      <c r="N6" s="38"/>
      <c r="O6" s="38"/>
      <c r="AJ6" s="30"/>
    </row>
    <row r="7" spans="1:36" ht="18.75" x14ac:dyDescent="0.3">
      <c r="A7" s="51"/>
      <c r="B7" s="209" t="s">
        <v>189</v>
      </c>
      <c r="C7" s="217">
        <v>0.25</v>
      </c>
      <c r="D7" s="218">
        <v>0.3</v>
      </c>
      <c r="E7" s="227"/>
      <c r="F7" s="57" t="s">
        <v>602</v>
      </c>
      <c r="G7" s="622">
        <f>(C9*C11)</f>
        <v>-1.4999999999999999E-2</v>
      </c>
      <c r="H7" s="623"/>
      <c r="I7" s="623">
        <f>(D9*D11)</f>
        <v>-1.6E-2</v>
      </c>
      <c r="J7" s="626"/>
      <c r="K7" s="54"/>
      <c r="L7" s="56"/>
      <c r="M7" s="38"/>
      <c r="N7" s="38"/>
      <c r="O7" s="38"/>
      <c r="T7" t="s">
        <v>456</v>
      </c>
      <c r="Y7">
        <f>C8</f>
        <v>0.12</v>
      </c>
      <c r="AJ7" s="30"/>
    </row>
    <row r="8" spans="1:36" ht="18.75" x14ac:dyDescent="0.3">
      <c r="A8" s="51"/>
      <c r="B8" s="209" t="s">
        <v>190</v>
      </c>
      <c r="C8" s="219">
        <v>0.12</v>
      </c>
      <c r="D8" s="220">
        <v>0.15</v>
      </c>
      <c r="E8" s="228"/>
      <c r="F8" s="52" t="s">
        <v>445</v>
      </c>
      <c r="G8" s="631" t="str">
        <f>IFERROR("1 : "&amp;TEXT(G6/-G7,"0.00"),0)</f>
        <v>1 : 5.60</v>
      </c>
      <c r="H8" s="627"/>
      <c r="I8" s="627" t="str">
        <f>IFERROR("1 : "&amp;TEXT(I6/-I7,"0.00"),0)</f>
        <v>1 : 3.75</v>
      </c>
      <c r="J8" s="628"/>
      <c r="K8" s="58"/>
      <c r="L8" s="38"/>
      <c r="M8" s="38"/>
      <c r="N8" s="38"/>
      <c r="O8" s="38"/>
      <c r="T8" t="s">
        <v>457</v>
      </c>
      <c r="Y8">
        <f>C9</f>
        <v>-3.7499999999999999E-2</v>
      </c>
      <c r="AJ8" s="30"/>
    </row>
    <row r="9" spans="1:36" ht="18.75" x14ac:dyDescent="0.3">
      <c r="A9" s="51"/>
      <c r="B9" s="209" t="s">
        <v>191</v>
      </c>
      <c r="C9" s="221">
        <v>-3.7499999999999999E-2</v>
      </c>
      <c r="D9" s="222">
        <v>-0.04</v>
      </c>
      <c r="E9" s="229"/>
      <c r="F9" s="57" t="s">
        <v>316</v>
      </c>
      <c r="G9" s="632">
        <f ca="1">OFFSET(M16,C4,0)</f>
        <v>241796.12820611644</v>
      </c>
      <c r="H9" s="629"/>
      <c r="I9" s="629">
        <f ca="1">OFFSET(AJ16,C4,0)</f>
        <v>185708.95583184861</v>
      </c>
      <c r="J9" s="630"/>
      <c r="K9" s="59"/>
      <c r="L9" s="38"/>
      <c r="M9" s="38"/>
      <c r="N9" s="38"/>
      <c r="O9" s="38"/>
      <c r="Y9">
        <f>C4</f>
        <v>100</v>
      </c>
      <c r="AJ9" s="30"/>
    </row>
    <row r="10" spans="1:36" ht="18.75" x14ac:dyDescent="0.3">
      <c r="A10" s="51"/>
      <c r="B10" s="209" t="s">
        <v>442</v>
      </c>
      <c r="C10" s="421">
        <v>0.7</v>
      </c>
      <c r="D10" s="422">
        <v>0.4</v>
      </c>
      <c r="E10" s="230"/>
      <c r="F10" s="210" t="s">
        <v>443</v>
      </c>
      <c r="G10" s="633">
        <f ca="1">G9-C3</f>
        <v>141796.12820611644</v>
      </c>
      <c r="H10" s="634"/>
      <c r="I10" s="634">
        <f ca="1">I9-C3</f>
        <v>85708.955831848609</v>
      </c>
      <c r="J10" s="652"/>
      <c r="K10" s="38"/>
      <c r="L10" s="38"/>
      <c r="M10" s="38"/>
      <c r="N10" s="38"/>
      <c r="O10" s="38"/>
      <c r="T10" t="str">
        <f>IFERROR(TEXT((C8*C7)/(-C9*C7),"#.00"),2)</f>
        <v>3.20</v>
      </c>
      <c r="AJ10" s="30"/>
    </row>
    <row r="11" spans="1:36" ht="18.75" x14ac:dyDescent="0.3">
      <c r="A11" s="51"/>
      <c r="B11" s="209" t="s">
        <v>441</v>
      </c>
      <c r="C11" s="423">
        <v>0.4</v>
      </c>
      <c r="D11" s="424">
        <v>0.4</v>
      </c>
      <c r="E11" s="230"/>
      <c r="F11" s="233" t="s">
        <v>461</v>
      </c>
      <c r="G11" s="646">
        <f ca="1">IFERROR(G10/C3,0)</f>
        <v>1.4179612820611645</v>
      </c>
      <c r="H11" s="647"/>
      <c r="I11" s="647">
        <f ca="1">IFERROR(I10/C3,0)</f>
        <v>0.8570895583184861</v>
      </c>
      <c r="J11" s="653"/>
      <c r="K11" s="38"/>
      <c r="L11" s="38"/>
      <c r="M11" s="38"/>
      <c r="N11" s="38"/>
      <c r="O11" s="38"/>
      <c r="X11">
        <f>ROUND(C4*C7,0)</f>
        <v>25</v>
      </c>
      <c r="Y11">
        <f>C4-X11</f>
        <v>75</v>
      </c>
      <c r="AA11">
        <f>ROUND(C4*D7,0)</f>
        <v>30</v>
      </c>
      <c r="AB11">
        <f>C4-AA11</f>
        <v>70</v>
      </c>
      <c r="AJ11" s="30"/>
    </row>
    <row r="12" spans="1:36" ht="15.75" x14ac:dyDescent="0.25">
      <c r="A12" s="51"/>
      <c r="B12" s="242"/>
      <c r="C12" s="242"/>
      <c r="D12" s="242"/>
      <c r="E12" s="212"/>
      <c r="F12" s="233" t="s">
        <v>462</v>
      </c>
      <c r="G12" s="648">
        <f ca="1">(T4*(C8*C10))+(T5*(C9*C11))</f>
        <v>0.97499999999999964</v>
      </c>
      <c r="H12" s="616"/>
      <c r="I12" s="616">
        <f ca="1">(U4*(D8*D10))+(U5*(D9*D11))</f>
        <v>0.67999999999999972</v>
      </c>
      <c r="J12" s="617"/>
      <c r="K12" s="38"/>
      <c r="L12" s="38"/>
      <c r="M12" s="38"/>
      <c r="N12" s="38"/>
      <c r="O12" s="38"/>
      <c r="AJ12" s="30"/>
    </row>
    <row r="13" spans="1:36" ht="7.5" customHeight="1" x14ac:dyDescent="0.25">
      <c r="A13" s="51"/>
      <c r="B13" s="213"/>
      <c r="C13" s="212"/>
      <c r="D13" s="212"/>
      <c r="E13" s="212"/>
      <c r="F13" s="210"/>
      <c r="G13" s="210"/>
      <c r="H13" s="210"/>
      <c r="I13" s="210"/>
      <c r="J13" s="210"/>
      <c r="K13" s="38"/>
      <c r="L13" s="211"/>
      <c r="M13" s="38"/>
      <c r="N13" s="38"/>
      <c r="O13" s="38"/>
      <c r="AJ13" s="30"/>
    </row>
    <row r="14" spans="1:36" ht="16.5" customHeight="1" x14ac:dyDescent="0.25">
      <c r="A14" s="51"/>
      <c r="B14" s="235" t="s">
        <v>194</v>
      </c>
      <c r="C14" s="235" t="s">
        <v>209</v>
      </c>
      <c r="D14" s="236" t="s">
        <v>195</v>
      </c>
      <c r="E14" s="237" t="s">
        <v>225</v>
      </c>
      <c r="F14" s="231"/>
      <c r="G14" s="224"/>
      <c r="H14" s="234" t="str">
        <f>C6&amp;" - TRADE DETAILS"</f>
        <v>Strategy 1 - TRADE DETAILS</v>
      </c>
      <c r="I14" s="224"/>
      <c r="J14" s="224"/>
      <c r="K14" s="224"/>
      <c r="L14" s="331" t="s">
        <v>463</v>
      </c>
      <c r="M14" s="636" t="s">
        <v>457</v>
      </c>
      <c r="N14" s="636"/>
      <c r="O14" s="224"/>
      <c r="AJ14" s="30"/>
    </row>
    <row r="15" spans="1:36" ht="21" customHeight="1" x14ac:dyDescent="0.25">
      <c r="A15" s="51"/>
      <c r="B15" s="293">
        <v>0.25</v>
      </c>
      <c r="C15" s="291">
        <v>3.2</v>
      </c>
      <c r="D15" s="292" t="s">
        <v>370</v>
      </c>
      <c r="E15" s="290" t="s">
        <v>224</v>
      </c>
      <c r="F15" s="231"/>
      <c r="G15" s="311" t="s">
        <v>459</v>
      </c>
      <c r="H15" s="312" t="s">
        <v>221</v>
      </c>
      <c r="I15" s="312" t="s">
        <v>196</v>
      </c>
      <c r="J15" s="313" t="s">
        <v>219</v>
      </c>
      <c r="K15" s="313" t="s">
        <v>460</v>
      </c>
      <c r="L15" s="312" t="s">
        <v>222</v>
      </c>
      <c r="M15" s="312" t="s">
        <v>223</v>
      </c>
      <c r="N15" s="312" t="s">
        <v>220</v>
      </c>
      <c r="O15" s="11"/>
      <c r="R15" t="s">
        <v>448</v>
      </c>
      <c r="T15" t="s">
        <v>447</v>
      </c>
      <c r="V15" t="s">
        <v>453</v>
      </c>
      <c r="W15" t="s">
        <v>454</v>
      </c>
      <c r="Y15">
        <f>C7</f>
        <v>0.25</v>
      </c>
      <c r="Z15">
        <f>20*Y15</f>
        <v>5</v>
      </c>
      <c r="AA15">
        <f>D7</f>
        <v>0.3</v>
      </c>
      <c r="AB15">
        <f>20*AA15</f>
        <v>6</v>
      </c>
      <c r="AC15" t="s">
        <v>452</v>
      </c>
      <c r="AD15" t="s">
        <v>453</v>
      </c>
      <c r="AE15" t="s">
        <v>454</v>
      </c>
      <c r="AF15" t="s">
        <v>449</v>
      </c>
      <c r="AG15" t="s">
        <v>450</v>
      </c>
      <c r="AH15" t="s">
        <v>455</v>
      </c>
      <c r="AI15" t="s">
        <v>451</v>
      </c>
      <c r="AJ15" s="60" t="s">
        <v>223</v>
      </c>
    </row>
    <row r="16" spans="1:36" ht="0.75" customHeight="1" x14ac:dyDescent="0.25">
      <c r="A16" s="51"/>
      <c r="B16" s="418"/>
      <c r="C16" s="419"/>
      <c r="D16" s="292"/>
      <c r="E16" s="290"/>
      <c r="F16" s="231"/>
      <c r="G16" s="311">
        <v>0</v>
      </c>
      <c r="H16" s="312"/>
      <c r="I16" s="312"/>
      <c r="J16" s="313"/>
      <c r="K16" s="313"/>
      <c r="L16" s="312"/>
      <c r="M16" s="420">
        <f>C3</f>
        <v>100000</v>
      </c>
      <c r="N16" s="312"/>
      <c r="O16" s="11"/>
      <c r="AJ16" s="60"/>
    </row>
    <row r="17" spans="1:77" x14ac:dyDescent="0.25">
      <c r="A17" s="74"/>
      <c r="B17" s="74"/>
      <c r="C17" s="191">
        <f t="shared" ref="C17:C45" si="0">-D17*$C$15</f>
        <v>6.4000000000000001E-2</v>
      </c>
      <c r="D17" s="192">
        <v>-0.02</v>
      </c>
      <c r="E17" s="193">
        <f ca="1">IFERROR((BP19-$Y$5)/$Y$5,"")</f>
        <v>4.5700736082413457E-2</v>
      </c>
      <c r="F17" s="307"/>
      <c r="G17" s="232">
        <f t="shared" ref="G17:G48" si="1">Q17</f>
        <v>1</v>
      </c>
      <c r="H17" s="177">
        <f ca="1">IF($M$14="non-compounding",IF(I17="loss",($C$3*$C$11),($C$3*$C$10)),IFERROR(IF(G17="","",IF(I17="win",$C$10*C3,$C$11*C3)),""))</f>
        <v>40000</v>
      </c>
      <c r="I17" s="183" t="str">
        <f t="shared" ref="I17:I48" ca="1" si="2">IF(G17="","",IF(K17&lt;0,"LOSS","WIN"))</f>
        <v>LOSS</v>
      </c>
      <c r="J17" s="178">
        <f t="shared" ref="J17:J48" ca="1" si="3">IFERROR(H17*K17,"")</f>
        <v>-1500</v>
      </c>
      <c r="K17" s="179">
        <f ca="1">R17</f>
        <v>-3.7499999999999999E-2</v>
      </c>
      <c r="L17" s="180">
        <f t="shared" ref="L17:L48" ca="1" si="4">IFERROR(J17+H17,"")</f>
        <v>38500</v>
      </c>
      <c r="M17" s="182">
        <f ca="1">IFERROR(IF(I17="win",($C$3*(1-$C$10)),($C$3*(1-$C$11)))+L17,"")</f>
        <v>98500</v>
      </c>
      <c r="N17" s="181">
        <f t="shared" ref="N17:N48" ca="1" si="5">IFERROR((M17-$C$3)/$C$3,"")</f>
        <v>-1.4999999999999999E-2</v>
      </c>
      <c r="O17" s="74"/>
      <c r="P17" s="471">
        <f ca="1">MAX(M17:M116,AJ17:AJ116)*1.05</f>
        <v>354031.22719598777</v>
      </c>
      <c r="Q17">
        <f t="shared" ref="Q17:Q48" si="6">IFERROR(IF(S17&gt;$C$4,"",S17),"")</f>
        <v>1</v>
      </c>
      <c r="R17">
        <f ca="1">IF(S15&gt;=$C$4,"",IF(V17&gt;$X$11,$C$9,IF(W17&gt;=$Y$11,$C$8,U17)))</f>
        <v>-3.7499999999999999E-2</v>
      </c>
      <c r="S17">
        <v>1</v>
      </c>
      <c r="T17">
        <f ca="1">IF(S15&gt;=$C$4,"",IF(AD17&gt;$AA$11,$D$9,IF(AE17&gt;=$AB$11,$D$8,AC17)))</f>
        <v>-0.04</v>
      </c>
      <c r="U17">
        <f t="shared" ref="U17:U48" ca="1" si="7">CHOOSE(RANDBETWEEN(1,20),$Z$18,$Z$19,$Z$20,$Z$21,$Z$22,$Z$23,$Z$24,$Z$25,$Z$26,$Z$27,$Z$28,$Z$29,$Z$30,$Z$31,$Z$32,$Z$33,$Z$34,$Z$35,$Z$36,$Z$37)</f>
        <v>-3.7499999999999999E-2</v>
      </c>
      <c r="V17">
        <f ca="1">COUNTIF($U17:U$17,$C$8)</f>
        <v>0</v>
      </c>
      <c r="W17">
        <f ca="1">COUNTIF($U15:U$17,$C$9)</f>
        <v>1</v>
      </c>
      <c r="Y17">
        <f>C8</f>
        <v>0.12</v>
      </c>
      <c r="Z17">
        <f>C9</f>
        <v>-3.7499999999999999E-2</v>
      </c>
      <c r="AA17">
        <f>D8</f>
        <v>0.15</v>
      </c>
      <c r="AB17">
        <f>D9</f>
        <v>-0.04</v>
      </c>
      <c r="AC17">
        <f ca="1">CHOOSE(RANDBETWEEN(1,20),$AB$18,$AB$19,$AB$20,$AB$21,$AB$22,$AB$23,$AB$24,$AB$25,$AB$26,$AB$27,$AB$28,$AB$29,$AB$30,$AB$31,$AB$32,$AB$33,$AB$34,$AB$35,$AB$36,$AB$37)</f>
        <v>-0.04</v>
      </c>
      <c r="AD17">
        <f ca="1">COUNTIF($AC17:AC$17,$D$8)</f>
        <v>0</v>
      </c>
      <c r="AE17">
        <f ca="1">COUNTIF($AC15:AC$17,$D$9)</f>
        <v>1</v>
      </c>
      <c r="AF17">
        <f ca="1">IF($M$14="non-compounding",IF(AH17&lt;0,($C$3*$D$11),($C$3*$D$10)),IFERROR(IF(G17="","",IF(AH17&gt;0,$D$10*C3,$D$11*C3)),""))</f>
        <v>40000</v>
      </c>
      <c r="AG17">
        <f t="shared" ref="AG17:AG18" ca="1" si="8">IFERROR(AF17*AH17,"")</f>
        <v>-1600</v>
      </c>
      <c r="AH17">
        <f ca="1">IF(S15&gt;=$C$4,"",IF(AD17&gt;$AA$11,$D$9,IF(AE17&gt;=$AB$11,$D$8,AC17)))</f>
        <v>-0.04</v>
      </c>
      <c r="AI17">
        <f ca="1">IFERROR(AG17+AF17,"")</f>
        <v>38400</v>
      </c>
      <c r="AJ17" s="60">
        <f ca="1">IFERROR(IF(AH17&gt;0,($C$3*(1-$D$10)),($C$3*(1-$D$11)))+AI17,"")</f>
        <v>98400</v>
      </c>
      <c r="AL17">
        <v>10</v>
      </c>
      <c r="AM17">
        <v>1</v>
      </c>
      <c r="AN17">
        <v>2</v>
      </c>
      <c r="AO17">
        <v>3</v>
      </c>
      <c r="AP17">
        <v>4</v>
      </c>
      <c r="AQ17">
        <v>5</v>
      </c>
      <c r="AR17">
        <v>6</v>
      </c>
      <c r="AS17">
        <v>7</v>
      </c>
      <c r="AT17">
        <v>8</v>
      </c>
      <c r="AU17">
        <v>9</v>
      </c>
      <c r="AV17">
        <v>10</v>
      </c>
    </row>
    <row r="18" spans="1:77" x14ac:dyDescent="0.25">
      <c r="A18" s="74"/>
      <c r="B18" s="111" t="s">
        <v>197</v>
      </c>
      <c r="C18" s="194">
        <f t="shared" si="0"/>
        <v>9.6000000000000002E-2</v>
      </c>
      <c r="D18" s="195">
        <v>-0.03</v>
      </c>
      <c r="E18" s="193">
        <f t="shared" ref="E18:E45" ca="1" si="9">IFERROR((BP20-$Y$5)/$Y$5,"")</f>
        <v>6.3735865280764303E-2</v>
      </c>
      <c r="F18" s="307"/>
      <c r="G18" s="232">
        <f t="shared" si="1"/>
        <v>2</v>
      </c>
      <c r="H18" s="182">
        <f t="shared" ref="H18:H49" ca="1" si="10">IFERROR(IF($M$14="non-compounding",IF(I18="loss",($C$3*$C$11),($C$3*$C$10)),IF(G18="","",IF(I18="win",$C$10*M17,$C$11*M17))),"")</f>
        <v>68950</v>
      </c>
      <c r="I18" s="183" t="str">
        <f t="shared" ca="1" si="2"/>
        <v>WIN</v>
      </c>
      <c r="J18" s="184">
        <f t="shared" ca="1" si="3"/>
        <v>8274</v>
      </c>
      <c r="K18" s="185">
        <f t="shared" ref="K18:K49" ca="1" si="11">IF(S17&gt;=$C$4,"",IF(V18&gt;=$X$11,$C$9,IF(W18&gt;=$Y$11,$C$8,U18)))</f>
        <v>0.12</v>
      </c>
      <c r="L18" s="182">
        <f t="shared" ca="1" si="4"/>
        <v>77224</v>
      </c>
      <c r="M18" s="182">
        <f ca="1">IF($M$14="non-compounding",SUM($J$17:J18)+$C$3,IFERROR(IF(I18="win",(M17*(1-$C$10)),(M17*(1-$C$11)))+L18,""))</f>
        <v>106774</v>
      </c>
      <c r="N18" s="186">
        <f t="shared" ca="1" si="5"/>
        <v>6.7739999999999995E-2</v>
      </c>
      <c r="O18" s="74"/>
      <c r="P18" s="471">
        <f ca="1">MIN(M17:M116,AJ17:AJ116)*0.9</f>
        <v>83851.176821706438</v>
      </c>
      <c r="Q18">
        <f t="shared" si="6"/>
        <v>2</v>
      </c>
      <c r="R18">
        <f t="shared" ref="R18:R48" ca="1" si="12">IF(S17&gt;=$C$4,"",IF(V18&gt;$X$11,$C$9,IF(W18&gt;=$Y$11,$C$8,U18)))</f>
        <v>0.12</v>
      </c>
      <c r="S18">
        <v>2</v>
      </c>
      <c r="T18">
        <f t="shared" ref="T18:T81" ca="1" si="13">IF(S17&gt;=$C$4,"",IF(AD18&gt;$AA$11,$D$9,IF(AE18&gt;=$AB$11,$D$8,AC18)))</f>
        <v>-0.04</v>
      </c>
      <c r="U18">
        <f t="shared" ca="1" si="7"/>
        <v>0.12</v>
      </c>
      <c r="V18">
        <f ca="1">COUNTIF($U$17:U17,$C$8)</f>
        <v>0</v>
      </c>
      <c r="W18">
        <f ca="1">COUNTIF($U$17:U17,$C$9)</f>
        <v>1</v>
      </c>
      <c r="Y18">
        <v>1</v>
      </c>
      <c r="Z18">
        <f t="shared" ref="Z18:Z37" si="14">IF(Y18&lt;=$Z$15,$Y$17,$Z$17)</f>
        <v>0.12</v>
      </c>
      <c r="AB18">
        <f t="shared" ref="AB18:AB37" si="15">IF(Y18&lt;=$AB$15,$AA$17,$AB$17)</f>
        <v>0.15</v>
      </c>
      <c r="AC18">
        <f t="shared" ref="AC18:AC81" ca="1" si="16">CHOOSE(RANDBETWEEN(1,20),$AB$18,$AB$19,$AB$20,$AB$21,$AB$22,$AB$23,$AB$24,$AB$25,$AB$26,$AB$27,$AB$28,$AB$29,$AB$30,$AB$31,$AB$32,$AB$33,$AB$34,$AB$35,$AB$36,$AB$37)</f>
        <v>-0.04</v>
      </c>
      <c r="AD18">
        <f ca="1">COUNTIF($AC$17:AC17,$D$8)</f>
        <v>0</v>
      </c>
      <c r="AE18">
        <f ca="1">COUNTIF($AC$17:AC17,$D$9)</f>
        <v>1</v>
      </c>
      <c r="AF18">
        <f t="shared" ref="AF18:AF49" ca="1" si="17">IFERROR(IF($M$14="non-compounding",IF(AH18&lt;0,($C$3*$D$11),($C$3*$D$10)),IF(G18="","",IF(AH18&gt;0,$D$10*AJ17,$D$11*AJ17))),"")</f>
        <v>39360</v>
      </c>
      <c r="AG18">
        <f t="shared" ca="1" si="8"/>
        <v>-1574.4</v>
      </c>
      <c r="AH18">
        <f ca="1">IF(S17&gt;=$C$4,"",IF(AD18&gt;=$AA$11,$D$9,IF(AE18&gt;=$AB$11,$D$8,AC18)))</f>
        <v>-0.04</v>
      </c>
      <c r="AI18">
        <f t="shared" ref="AI18:AI81" ca="1" si="18">IFERROR(AG18+AF18,"")</f>
        <v>37785.599999999999</v>
      </c>
      <c r="AJ18" s="60">
        <f ca="1">IF($M$14="non-compounding",SUM($AG$17:AG18)+$C$3,IFERROR(IF(AH18&gt;0,(AJ17*(1-$D$10)),(AJ17*(1-$D$11)))+AI18,""))</f>
        <v>96825.600000000006</v>
      </c>
    </row>
    <row r="19" spans="1:77" x14ac:dyDescent="0.25">
      <c r="A19" s="74"/>
      <c r="B19" s="111" t="s">
        <v>458</v>
      </c>
      <c r="C19" s="194">
        <f t="shared" si="0"/>
        <v>0.128</v>
      </c>
      <c r="D19" s="195">
        <v>-0.04</v>
      </c>
      <c r="E19" s="193">
        <f t="shared" ca="1" si="9"/>
        <v>7.8514355727274956E-2</v>
      </c>
      <c r="F19" s="307"/>
      <c r="G19" s="232">
        <f t="shared" si="1"/>
        <v>3</v>
      </c>
      <c r="H19" s="182">
        <f t="shared" ca="1" si="10"/>
        <v>74741.799999999988</v>
      </c>
      <c r="I19" s="183" t="str">
        <f t="shared" ca="1" si="2"/>
        <v>WIN</v>
      </c>
      <c r="J19" s="184">
        <f t="shared" ca="1" si="3"/>
        <v>8969.0159999999978</v>
      </c>
      <c r="K19" s="185">
        <f t="shared" ca="1" si="11"/>
        <v>0.12</v>
      </c>
      <c r="L19" s="182">
        <f t="shared" ca="1" si="4"/>
        <v>83710.815999999992</v>
      </c>
      <c r="M19" s="182">
        <f ca="1">IF($M$14="non-compounding",SUM($J$17:J19)+$C$3,IFERROR(IF(I19="win",(M18*(1-$C$10)),(M18*(1-$C$11)))+L19,""))</f>
        <v>115743.016</v>
      </c>
      <c r="N19" s="186">
        <f t="shared" ca="1" si="5"/>
        <v>0.15743016000000004</v>
      </c>
      <c r="O19" s="74"/>
      <c r="Q19">
        <f t="shared" si="6"/>
        <v>3</v>
      </c>
      <c r="R19">
        <f t="shared" ca="1" si="12"/>
        <v>0.12</v>
      </c>
      <c r="S19">
        <v>3</v>
      </c>
      <c r="T19">
        <f t="shared" ca="1" si="13"/>
        <v>-0.04</v>
      </c>
      <c r="U19">
        <f t="shared" ca="1" si="7"/>
        <v>0.12</v>
      </c>
      <c r="V19">
        <f ca="1">COUNTIF($U$17:U18,$C$8)</f>
        <v>1</v>
      </c>
      <c r="W19">
        <f ca="1">COUNTIF($U$17:U18,$C$9)</f>
        <v>1</v>
      </c>
      <c r="Y19">
        <v>2</v>
      </c>
      <c r="Z19">
        <f t="shared" si="14"/>
        <v>0.12</v>
      </c>
      <c r="AB19">
        <f t="shared" si="15"/>
        <v>0.15</v>
      </c>
      <c r="AC19">
        <f t="shared" ca="1" si="16"/>
        <v>-0.04</v>
      </c>
      <c r="AD19">
        <f ca="1">COUNTIF($AC$17:AC18,$D$8)</f>
        <v>0</v>
      </c>
      <c r="AE19">
        <f ca="1">COUNTIF($AC$17:AC18,$D$9)</f>
        <v>2</v>
      </c>
      <c r="AF19">
        <f t="shared" ca="1" si="17"/>
        <v>38730.240000000005</v>
      </c>
      <c r="AG19">
        <f ca="1">IFERROR(AF19*AH19,"")</f>
        <v>-1549.2096000000001</v>
      </c>
      <c r="AH19">
        <f t="shared" ref="AH19:AH82" ca="1" si="19">IF(S18&gt;=$C$4,"",IF(AD19&gt;=$AA$11,$D$9,IF(AE19&gt;=$AB$11,$D$8,AC19)))</f>
        <v>-0.04</v>
      </c>
      <c r="AI19">
        <f t="shared" ca="1" si="18"/>
        <v>37181.030400000003</v>
      </c>
      <c r="AJ19" s="60">
        <f ca="1">IF($M$14="non-compounding",SUM($AG$17:AG19)+$C$3,IFERROR(IF(AH19&gt;0,(AJ18*(1-$D$10)),(AJ18*(1-$D$11)))+AI19,""))</f>
        <v>95276.390400000004</v>
      </c>
      <c r="AM19">
        <f t="shared" ref="AM19:AV19" si="20">IF(AM$17&gt;ROUND($B$15*$AL$17,0),$D17,$C17)</f>
        <v>6.4000000000000001E-2</v>
      </c>
      <c r="AN19">
        <f t="shared" si="20"/>
        <v>6.4000000000000001E-2</v>
      </c>
      <c r="AO19">
        <f t="shared" si="20"/>
        <v>6.4000000000000001E-2</v>
      </c>
      <c r="AP19">
        <f t="shared" si="20"/>
        <v>-0.02</v>
      </c>
      <c r="AQ19">
        <f t="shared" si="20"/>
        <v>-0.02</v>
      </c>
      <c r="AR19">
        <f t="shared" si="20"/>
        <v>-0.02</v>
      </c>
      <c r="AS19">
        <f t="shared" si="20"/>
        <v>-0.02</v>
      </c>
      <c r="AT19">
        <f t="shared" si="20"/>
        <v>-0.02</v>
      </c>
      <c r="AU19">
        <f t="shared" si="20"/>
        <v>-0.02</v>
      </c>
      <c r="AV19">
        <f t="shared" si="20"/>
        <v>-0.02</v>
      </c>
      <c r="AW19">
        <f t="shared" ref="AW19:AW47" ca="1" si="21">AM19*$Y$5</f>
        <v>2560</v>
      </c>
      <c r="AX19">
        <f t="shared" ref="AX19:BF34" ca="1" si="22">AN19*BG19</f>
        <v>2723.84</v>
      </c>
      <c r="AY19">
        <f t="shared" ca="1" si="22"/>
        <v>2898.1657599999999</v>
      </c>
      <c r="AZ19">
        <f t="shared" ca="1" si="22"/>
        <v>-963.64011519999997</v>
      </c>
      <c r="BA19">
        <f t="shared" ca="1" si="22"/>
        <v>-944.36731289599993</v>
      </c>
      <c r="BB19">
        <f t="shared" ca="1" si="22"/>
        <v>-925.47996663807999</v>
      </c>
      <c r="BC19">
        <f t="shared" ca="1" si="22"/>
        <v>-906.9703673053184</v>
      </c>
      <c r="BD19">
        <f t="shared" ca="1" si="22"/>
        <v>-888.83095995921212</v>
      </c>
      <c r="BE19">
        <f t="shared" ca="1" si="22"/>
        <v>-871.05434076002791</v>
      </c>
      <c r="BF19">
        <f t="shared" ca="1" si="22"/>
        <v>-853.63325394482729</v>
      </c>
      <c r="BG19">
        <f t="shared" ref="BG19:BG47" ca="1" si="23">($Y$5+AW19)</f>
        <v>42560</v>
      </c>
      <c r="BH19">
        <f t="shared" ref="BH19:BP34" ca="1" si="24">AX19+BG19</f>
        <v>45283.839999999997</v>
      </c>
      <c r="BI19">
        <f t="shared" ca="1" si="24"/>
        <v>48182.00576</v>
      </c>
      <c r="BJ19">
        <f t="shared" ca="1" si="24"/>
        <v>47218.365644799997</v>
      </c>
      <c r="BK19">
        <f t="shared" ca="1" si="24"/>
        <v>46273.998331903997</v>
      </c>
      <c r="BL19">
        <f t="shared" ca="1" si="24"/>
        <v>45348.518365265918</v>
      </c>
      <c r="BM19">
        <f t="shared" ca="1" si="24"/>
        <v>44441.547997960603</v>
      </c>
      <c r="BN19">
        <f t="shared" ca="1" si="24"/>
        <v>43552.717038001392</v>
      </c>
      <c r="BO19">
        <f t="shared" ca="1" si="24"/>
        <v>42681.662697241365</v>
      </c>
      <c r="BP19">
        <f t="shared" ca="1" si="24"/>
        <v>41828.029443296538</v>
      </c>
      <c r="BQ19">
        <f t="shared" ref="BQ19:BQ47" ca="1" si="25">(BG19-$Y$5)/$Y$5</f>
        <v>6.4000000000000001E-2</v>
      </c>
      <c r="BR19">
        <f t="shared" ref="BR19:BR47" ca="1" si="26">(BH19-$Y$5)/$Y$5</f>
        <v>0.13209599999999991</v>
      </c>
      <c r="BS19">
        <f t="shared" ref="BS19:BS47" ca="1" si="27">(BI19-$Y$5)/$Y$5</f>
        <v>0.20455014399999999</v>
      </c>
      <c r="BT19">
        <f t="shared" ref="BT19:BT47" ca="1" si="28">(BJ19-$Y$5)/$Y$5</f>
        <v>0.18045914111999992</v>
      </c>
      <c r="BU19">
        <f t="shared" ref="BU19:BU47" ca="1" si="29">(BK19-$Y$5)/$Y$5</f>
        <v>0.15684995829759993</v>
      </c>
      <c r="BV19">
        <f t="shared" ref="BV19:BV47" ca="1" si="30">(BL19-$Y$5)/$Y$5</f>
        <v>0.13371295913164796</v>
      </c>
      <c r="BW19">
        <f t="shared" ref="BW19:BW47" ca="1" si="31">(BM19-$Y$5)/$Y$5</f>
        <v>0.11103869994901507</v>
      </c>
      <c r="BX19">
        <f t="shared" ref="BX19:BX47" ca="1" si="32">(BN19-$Y$5)/$Y$5</f>
        <v>8.8817925950034807E-2</v>
      </c>
      <c r="BY19">
        <f t="shared" ref="BY19:BY47" ca="1" si="33">(BO19-$Y$5)/$Y$5</f>
        <v>6.7041567431034121E-2</v>
      </c>
    </row>
    <row r="20" spans="1:77" ht="15" customHeight="1" x14ac:dyDescent="0.3">
      <c r="A20" s="74"/>
      <c r="B20" s="75" t="str">
        <f ca="1">IFERROR(CONCATENATE(INDEX(C17:C45,MATCH(B21,$E$17:$E$45,0))*100,"% / ",INDEX(D17:D45,MATCH(B21,$E$17:$E$45,0))*100,"%"),0)</f>
        <v>25.6% / -8%</v>
      </c>
      <c r="C20" s="194">
        <f t="shared" si="0"/>
        <v>0.16000000000000003</v>
      </c>
      <c r="D20" s="195">
        <v>-0.05</v>
      </c>
      <c r="E20" s="193">
        <f t="shared" ca="1" si="9"/>
        <v>9.0031892123549909E-2</v>
      </c>
      <c r="F20" s="307"/>
      <c r="G20" s="232">
        <f t="shared" si="1"/>
        <v>4</v>
      </c>
      <c r="H20" s="182">
        <f t="shared" ca="1" si="10"/>
        <v>81020.111199999999</v>
      </c>
      <c r="I20" s="183" t="str">
        <f t="shared" ca="1" si="2"/>
        <v>WIN</v>
      </c>
      <c r="J20" s="184">
        <f t="shared" ca="1" si="3"/>
        <v>9722.4133439999987</v>
      </c>
      <c r="K20" s="185">
        <f t="shared" ca="1" si="11"/>
        <v>0.12</v>
      </c>
      <c r="L20" s="182">
        <f t="shared" ca="1" si="4"/>
        <v>90742.524544</v>
      </c>
      <c r="M20" s="182">
        <f ca="1">IF($M$14="non-compounding",SUM($J$17:J20)+$C$3,IFERROR(IF(I20="win",(M19*(1-$C$10)),(M19*(1-$C$11)))+L20,""))</f>
        <v>125465.429344</v>
      </c>
      <c r="N20" s="186">
        <f t="shared" ca="1" si="5"/>
        <v>0.25465429344000001</v>
      </c>
      <c r="O20" s="74"/>
      <c r="Q20">
        <f t="shared" si="6"/>
        <v>4</v>
      </c>
      <c r="R20">
        <f t="shared" ca="1" si="12"/>
        <v>0.12</v>
      </c>
      <c r="S20">
        <v>4</v>
      </c>
      <c r="T20">
        <f t="shared" ca="1" si="13"/>
        <v>0.15</v>
      </c>
      <c r="U20">
        <f t="shared" ca="1" si="7"/>
        <v>0.12</v>
      </c>
      <c r="V20">
        <f ca="1">COUNTIF($U$17:U19,$C$8)</f>
        <v>2</v>
      </c>
      <c r="W20">
        <f ca="1">COUNTIF($U$17:U19,$C$9)</f>
        <v>1</v>
      </c>
      <c r="Y20">
        <v>3</v>
      </c>
      <c r="Z20">
        <f t="shared" si="14"/>
        <v>0.12</v>
      </c>
      <c r="AB20">
        <f t="shared" si="15"/>
        <v>0.15</v>
      </c>
      <c r="AC20">
        <f t="shared" ca="1" si="16"/>
        <v>0.15</v>
      </c>
      <c r="AD20">
        <f ca="1">COUNTIF($AC$17:AC19,$D$8)</f>
        <v>0</v>
      </c>
      <c r="AE20">
        <f ca="1">COUNTIF($AC$17:AC19,$D$9)</f>
        <v>3</v>
      </c>
      <c r="AF20">
        <f t="shared" ca="1" si="17"/>
        <v>38110.55616</v>
      </c>
      <c r="AG20">
        <f t="shared" ref="AG20:AG83" ca="1" si="34">IFERROR(AF20*AH20,"")</f>
        <v>5716.5834239999995</v>
      </c>
      <c r="AH20">
        <f t="shared" ca="1" si="19"/>
        <v>0.15</v>
      </c>
      <c r="AI20">
        <f t="shared" ca="1" si="18"/>
        <v>43827.139583999997</v>
      </c>
      <c r="AJ20" s="60">
        <f ca="1">IF($M$14="non-compounding",SUM($AG$17:AG20)+$C$3,IFERROR(IF(AH20&gt;0,(AJ19*(1-$D$10)),(AJ19*(1-$D$11)))+AI20,""))</f>
        <v>100992.973824</v>
      </c>
      <c r="AM20">
        <f t="shared" ref="AM20:AV20" si="35">IF(AM$17&gt;ROUND($B$15*$AL$17,0),$D18,$C18)</f>
        <v>9.6000000000000002E-2</v>
      </c>
      <c r="AN20">
        <f t="shared" si="35"/>
        <v>9.6000000000000002E-2</v>
      </c>
      <c r="AO20">
        <f t="shared" si="35"/>
        <v>9.6000000000000002E-2</v>
      </c>
      <c r="AP20">
        <f t="shared" si="35"/>
        <v>-0.03</v>
      </c>
      <c r="AQ20">
        <f t="shared" si="35"/>
        <v>-0.03</v>
      </c>
      <c r="AR20">
        <f t="shared" si="35"/>
        <v>-0.03</v>
      </c>
      <c r="AS20">
        <f t="shared" si="35"/>
        <v>-0.03</v>
      </c>
      <c r="AT20">
        <f t="shared" si="35"/>
        <v>-0.03</v>
      </c>
      <c r="AU20">
        <f t="shared" si="35"/>
        <v>-0.03</v>
      </c>
      <c r="AV20">
        <f t="shared" si="35"/>
        <v>-0.03</v>
      </c>
      <c r="AW20">
        <f t="shared" ca="1" si="21"/>
        <v>3840</v>
      </c>
      <c r="AX20">
        <f t="shared" ca="1" si="22"/>
        <v>4208.6400000000003</v>
      </c>
      <c r="AY20">
        <f t="shared" ca="1" si="22"/>
        <v>4612.6694399999997</v>
      </c>
      <c r="AZ20">
        <f t="shared" ca="1" si="22"/>
        <v>-1579.8392832</v>
      </c>
      <c r="BA20">
        <f t="shared" ca="1" si="22"/>
        <v>-1532.4441047039998</v>
      </c>
      <c r="BB20">
        <f t="shared" ca="1" si="22"/>
        <v>-1486.4707815628797</v>
      </c>
      <c r="BC20">
        <f t="shared" ca="1" si="22"/>
        <v>-1441.8766581159935</v>
      </c>
      <c r="BD20">
        <f t="shared" ca="1" si="22"/>
        <v>-1398.6203583725135</v>
      </c>
      <c r="BE20">
        <f t="shared" ca="1" si="22"/>
        <v>-1356.661747621338</v>
      </c>
      <c r="BF20">
        <f t="shared" ca="1" si="22"/>
        <v>-1315.961895192698</v>
      </c>
      <c r="BG20">
        <f t="shared" ca="1" si="23"/>
        <v>43840</v>
      </c>
      <c r="BH20">
        <f t="shared" ca="1" si="24"/>
        <v>48048.639999999999</v>
      </c>
      <c r="BI20">
        <f t="shared" ca="1" si="24"/>
        <v>52661.309439999997</v>
      </c>
      <c r="BJ20">
        <f t="shared" ca="1" si="24"/>
        <v>51081.470156799995</v>
      </c>
      <c r="BK20">
        <f t="shared" ca="1" si="24"/>
        <v>49549.026052095993</v>
      </c>
      <c r="BL20">
        <f t="shared" ca="1" si="24"/>
        <v>48062.555270533114</v>
      </c>
      <c r="BM20">
        <f t="shared" ca="1" si="24"/>
        <v>46620.678612417119</v>
      </c>
      <c r="BN20">
        <f t="shared" ca="1" si="24"/>
        <v>45222.058254044605</v>
      </c>
      <c r="BO20">
        <f t="shared" ca="1" si="24"/>
        <v>43865.396506423269</v>
      </c>
      <c r="BP20">
        <f t="shared" ca="1" si="24"/>
        <v>42549.434611230572</v>
      </c>
      <c r="BQ20">
        <f t="shared" ca="1" si="25"/>
        <v>9.6000000000000002E-2</v>
      </c>
      <c r="BR20">
        <f t="shared" ca="1" si="26"/>
        <v>0.20121599999999998</v>
      </c>
      <c r="BS20">
        <f t="shared" ca="1" si="27"/>
        <v>0.31653273599999993</v>
      </c>
      <c r="BT20">
        <f t="shared" ca="1" si="28"/>
        <v>0.27703675391999988</v>
      </c>
      <c r="BU20">
        <f t="shared" ca="1" si="29"/>
        <v>0.23872565130239981</v>
      </c>
      <c r="BV20">
        <f t="shared" ca="1" si="30"/>
        <v>0.20156388176332785</v>
      </c>
      <c r="BW20">
        <f t="shared" ca="1" si="31"/>
        <v>0.16551696531042798</v>
      </c>
      <c r="BX20">
        <f t="shared" ca="1" si="32"/>
        <v>0.13055145635111512</v>
      </c>
      <c r="BY20">
        <f t="shared" ca="1" si="33"/>
        <v>9.6634912660581718E-2</v>
      </c>
    </row>
    <row r="21" spans="1:77" ht="15" customHeight="1" x14ac:dyDescent="0.25">
      <c r="A21" s="74"/>
      <c r="B21" s="637">
        <f ca="1">IFERROR(MAX(E17:E45),0)</f>
        <v>0.10530900848580878</v>
      </c>
      <c r="C21" s="194">
        <f t="shared" si="0"/>
        <v>0.192</v>
      </c>
      <c r="D21" s="195">
        <v>-0.06</v>
      </c>
      <c r="E21" s="193">
        <f t="shared" ca="1" si="9"/>
        <v>9.8306974326758056E-2</v>
      </c>
      <c r="F21" s="307"/>
      <c r="G21" s="232">
        <f t="shared" si="1"/>
        <v>5</v>
      </c>
      <c r="H21" s="182">
        <f t="shared" ca="1" si="10"/>
        <v>50186.171737600002</v>
      </c>
      <c r="I21" s="183" t="str">
        <f t="shared" ca="1" si="2"/>
        <v>LOSS</v>
      </c>
      <c r="J21" s="184">
        <f t="shared" ca="1" si="3"/>
        <v>-1881.9814401599999</v>
      </c>
      <c r="K21" s="185">
        <f t="shared" ca="1" si="11"/>
        <v>-3.7499999999999999E-2</v>
      </c>
      <c r="L21" s="182">
        <f t="shared" ca="1" si="4"/>
        <v>48304.19029744</v>
      </c>
      <c r="M21" s="182">
        <f ca="1">IF($M$14="non-compounding",SUM($J$17:J21)+$C$3,IFERROR(IF(I21="win",(M20*(1-$C$10)),(M20*(1-$C$11)))+L21,""))</f>
        <v>123583.44790384</v>
      </c>
      <c r="N21" s="186">
        <f t="shared" ca="1" si="5"/>
        <v>0.23583447903840002</v>
      </c>
      <c r="O21" s="74"/>
      <c r="Q21">
        <f t="shared" si="6"/>
        <v>5</v>
      </c>
      <c r="R21">
        <f t="shared" ca="1" si="12"/>
        <v>-3.7499999999999999E-2</v>
      </c>
      <c r="S21">
        <v>5</v>
      </c>
      <c r="T21">
        <f t="shared" ca="1" si="13"/>
        <v>-0.04</v>
      </c>
      <c r="U21">
        <f t="shared" ca="1" si="7"/>
        <v>-3.7499999999999999E-2</v>
      </c>
      <c r="V21">
        <f ca="1">COUNTIF($U$17:U20,$C$8)</f>
        <v>3</v>
      </c>
      <c r="W21">
        <f ca="1">COUNTIF($U$17:U20,$C$9)</f>
        <v>1</v>
      </c>
      <c r="Y21">
        <v>4</v>
      </c>
      <c r="Z21">
        <f t="shared" si="14"/>
        <v>0.12</v>
      </c>
      <c r="AB21">
        <f t="shared" si="15"/>
        <v>0.15</v>
      </c>
      <c r="AC21">
        <f t="shared" ca="1" si="16"/>
        <v>-0.04</v>
      </c>
      <c r="AD21">
        <f ca="1">COUNTIF($AC$17:AC20,$D$8)</f>
        <v>1</v>
      </c>
      <c r="AE21">
        <f ca="1">COUNTIF($AC$17:AC20,$D$9)</f>
        <v>3</v>
      </c>
      <c r="AF21">
        <f t="shared" ca="1" si="17"/>
        <v>40397.1895296</v>
      </c>
      <c r="AG21">
        <f t="shared" ca="1" si="34"/>
        <v>-1615.8875811840001</v>
      </c>
      <c r="AH21">
        <f t="shared" ca="1" si="19"/>
        <v>-0.04</v>
      </c>
      <c r="AI21">
        <f t="shared" ca="1" si="18"/>
        <v>38781.301948416003</v>
      </c>
      <c r="AJ21" s="60">
        <f ca="1">IF($M$14="non-compounding",SUM($AG$17:AG21)+$C$3,IFERROR(IF(AH21&gt;0,(AJ20*(1-$D$10)),(AJ20*(1-$D$11)))+AI21,""))</f>
        <v>99377.086242816004</v>
      </c>
      <c r="AM21">
        <f t="shared" ref="AM21:AV21" si="36">IF(AM$17&gt;ROUND($B$15*$AL$17,0),$D19,$C19)</f>
        <v>0.128</v>
      </c>
      <c r="AN21">
        <f t="shared" si="36"/>
        <v>0.128</v>
      </c>
      <c r="AO21">
        <f t="shared" si="36"/>
        <v>0.128</v>
      </c>
      <c r="AP21">
        <f t="shared" si="36"/>
        <v>-0.04</v>
      </c>
      <c r="AQ21">
        <f t="shared" si="36"/>
        <v>-0.04</v>
      </c>
      <c r="AR21">
        <f t="shared" si="36"/>
        <v>-0.04</v>
      </c>
      <c r="AS21">
        <f t="shared" si="36"/>
        <v>-0.04</v>
      </c>
      <c r="AT21">
        <f t="shared" si="36"/>
        <v>-0.04</v>
      </c>
      <c r="AU21">
        <f t="shared" si="36"/>
        <v>-0.04</v>
      </c>
      <c r="AV21">
        <f t="shared" si="36"/>
        <v>-0.04</v>
      </c>
      <c r="AW21">
        <f t="shared" ca="1" si="21"/>
        <v>5120</v>
      </c>
      <c r="AX21">
        <f t="shared" ca="1" si="22"/>
        <v>5775.36</v>
      </c>
      <c r="AY21">
        <f t="shared" ca="1" si="22"/>
        <v>6514.6060800000005</v>
      </c>
      <c r="AZ21">
        <f t="shared" ca="1" si="22"/>
        <v>-2296.3986432000002</v>
      </c>
      <c r="BA21">
        <f t="shared" ca="1" si="22"/>
        <v>-2204.5426974719999</v>
      </c>
      <c r="BB21">
        <f t="shared" ca="1" si="22"/>
        <v>-2116.3609895731197</v>
      </c>
      <c r="BC21">
        <f t="shared" ca="1" si="22"/>
        <v>-2031.7065499901948</v>
      </c>
      <c r="BD21">
        <f t="shared" ca="1" si="22"/>
        <v>-1950.4382879905872</v>
      </c>
      <c r="BE21">
        <f t="shared" ca="1" si="22"/>
        <v>-1872.4207564709636</v>
      </c>
      <c r="BF21">
        <f t="shared" ca="1" si="22"/>
        <v>-1797.5239262121249</v>
      </c>
      <c r="BG21">
        <f t="shared" ca="1" si="23"/>
        <v>45120</v>
      </c>
      <c r="BH21">
        <f t="shared" ca="1" si="24"/>
        <v>50895.360000000001</v>
      </c>
      <c r="BI21">
        <f t="shared" ca="1" si="24"/>
        <v>57409.966079999998</v>
      </c>
      <c r="BJ21">
        <f t="shared" ca="1" si="24"/>
        <v>55113.567436799996</v>
      </c>
      <c r="BK21">
        <f t="shared" ca="1" si="24"/>
        <v>52909.024739327993</v>
      </c>
      <c r="BL21">
        <f t="shared" ca="1" si="24"/>
        <v>50792.663749754873</v>
      </c>
      <c r="BM21">
        <f t="shared" ca="1" si="24"/>
        <v>48760.957199764678</v>
      </c>
      <c r="BN21">
        <f t="shared" ca="1" si="24"/>
        <v>46810.518911774088</v>
      </c>
      <c r="BO21">
        <f t="shared" ca="1" si="24"/>
        <v>44938.098155303123</v>
      </c>
      <c r="BP21">
        <f t="shared" ca="1" si="24"/>
        <v>43140.574229090998</v>
      </c>
      <c r="BQ21">
        <f t="shared" ca="1" si="25"/>
        <v>0.128</v>
      </c>
      <c r="BR21">
        <f t="shared" ca="1" si="26"/>
        <v>0.27238400000000001</v>
      </c>
      <c r="BS21">
        <f t="shared" ca="1" si="27"/>
        <v>0.43524915199999997</v>
      </c>
      <c r="BT21">
        <f t="shared" ca="1" si="28"/>
        <v>0.37783918591999993</v>
      </c>
      <c r="BU21">
        <f t="shared" ca="1" si="29"/>
        <v>0.32272561848319981</v>
      </c>
      <c r="BV21">
        <f t="shared" ca="1" si="30"/>
        <v>0.26981659374387179</v>
      </c>
      <c r="BW21">
        <f t="shared" ca="1" si="31"/>
        <v>0.21902392999411696</v>
      </c>
      <c r="BX21">
        <f t="shared" ca="1" si="32"/>
        <v>0.17026297279435221</v>
      </c>
      <c r="BY21">
        <f t="shared" ca="1" si="33"/>
        <v>0.12345245388257808</v>
      </c>
    </row>
    <row r="22" spans="1:77" x14ac:dyDescent="0.25">
      <c r="A22" s="74"/>
      <c r="B22" s="637"/>
      <c r="C22" s="194">
        <f t="shared" si="0"/>
        <v>0.22400000000000003</v>
      </c>
      <c r="D22" s="195">
        <v>-7.0000000000000007E-2</v>
      </c>
      <c r="E22" s="193">
        <f t="shared" ca="1" si="9"/>
        <v>0.1033794555126009</v>
      </c>
      <c r="F22" s="307"/>
      <c r="G22" s="232">
        <f t="shared" si="1"/>
        <v>6</v>
      </c>
      <c r="H22" s="182">
        <f t="shared" ca="1" si="10"/>
        <v>49433.379161536002</v>
      </c>
      <c r="I22" s="183" t="str">
        <f t="shared" ca="1" si="2"/>
        <v>LOSS</v>
      </c>
      <c r="J22" s="184">
        <f t="shared" ca="1" si="3"/>
        <v>-1853.7517185576</v>
      </c>
      <c r="K22" s="185">
        <f t="shared" ca="1" si="11"/>
        <v>-3.7499999999999999E-2</v>
      </c>
      <c r="L22" s="182">
        <f t="shared" ca="1" si="4"/>
        <v>47579.627442978403</v>
      </c>
      <c r="M22" s="182">
        <f ca="1">IF($M$14="non-compounding",SUM($J$17:J22)+$C$3,IFERROR(IF(I22="win",(M21*(1-$C$10)),(M21*(1-$C$11)))+L22,""))</f>
        <v>121729.6961852824</v>
      </c>
      <c r="N22" s="186">
        <f t="shared" ca="1" si="5"/>
        <v>0.21729696185282402</v>
      </c>
      <c r="O22" s="74"/>
      <c r="Q22">
        <f t="shared" si="6"/>
        <v>6</v>
      </c>
      <c r="R22">
        <f t="shared" ca="1" si="12"/>
        <v>-3.7499999999999999E-2</v>
      </c>
      <c r="S22">
        <v>6</v>
      </c>
      <c r="T22">
        <f t="shared" ca="1" si="13"/>
        <v>-0.04</v>
      </c>
      <c r="U22">
        <f t="shared" ca="1" si="7"/>
        <v>-3.7499999999999999E-2</v>
      </c>
      <c r="V22">
        <f ca="1">COUNTIF($U$17:U21,$C$8)</f>
        <v>3</v>
      </c>
      <c r="W22">
        <f ca="1">COUNTIF($U$17:U21,$C$9)</f>
        <v>2</v>
      </c>
      <c r="Y22">
        <v>5</v>
      </c>
      <c r="Z22">
        <f t="shared" si="14"/>
        <v>0.12</v>
      </c>
      <c r="AB22">
        <f t="shared" si="15"/>
        <v>0.15</v>
      </c>
      <c r="AC22">
        <f t="shared" ca="1" si="16"/>
        <v>-0.04</v>
      </c>
      <c r="AD22">
        <f ca="1">COUNTIF($AC$17:AC21,$D$8)</f>
        <v>1</v>
      </c>
      <c r="AE22">
        <f ca="1">COUNTIF($AC$17:AC21,$D$9)</f>
        <v>4</v>
      </c>
      <c r="AF22">
        <f t="shared" ca="1" si="17"/>
        <v>39750.834497126401</v>
      </c>
      <c r="AG22">
        <f t="shared" ca="1" si="34"/>
        <v>-1590.0333798850561</v>
      </c>
      <c r="AH22">
        <f t="shared" ca="1" si="19"/>
        <v>-0.04</v>
      </c>
      <c r="AI22">
        <f t="shared" ca="1" si="18"/>
        <v>38160.801117241346</v>
      </c>
      <c r="AJ22" s="60">
        <f ca="1">IF($M$14="non-compounding",SUM($AG$17:AG22)+$C$3,IFERROR(IF(AH22&gt;0,(AJ21*(1-$D$10)),(AJ21*(1-$D$11)))+AI22,""))</f>
        <v>97787.052862930956</v>
      </c>
      <c r="AM22">
        <f t="shared" ref="AM22:AV22" si="37">IF(AM$17&gt;ROUND($B$15*$AL$17,0),$D20,$C20)</f>
        <v>0.16000000000000003</v>
      </c>
      <c r="AN22">
        <f t="shared" si="37"/>
        <v>0.16000000000000003</v>
      </c>
      <c r="AO22">
        <f t="shared" si="37"/>
        <v>0.16000000000000003</v>
      </c>
      <c r="AP22">
        <f t="shared" si="37"/>
        <v>-0.05</v>
      </c>
      <c r="AQ22">
        <f t="shared" si="37"/>
        <v>-0.05</v>
      </c>
      <c r="AR22">
        <f t="shared" si="37"/>
        <v>-0.05</v>
      </c>
      <c r="AS22">
        <f t="shared" si="37"/>
        <v>-0.05</v>
      </c>
      <c r="AT22">
        <f t="shared" si="37"/>
        <v>-0.05</v>
      </c>
      <c r="AU22">
        <f t="shared" si="37"/>
        <v>-0.05</v>
      </c>
      <c r="AV22">
        <f t="shared" si="37"/>
        <v>-0.05</v>
      </c>
      <c r="AW22">
        <f t="shared" ca="1" si="21"/>
        <v>6400.0000000000009</v>
      </c>
      <c r="AX22">
        <f t="shared" ca="1" si="22"/>
        <v>7424.0000000000018</v>
      </c>
      <c r="AY22">
        <f t="shared" ca="1" si="22"/>
        <v>8611.840000000002</v>
      </c>
      <c r="AZ22">
        <f t="shared" ca="1" si="22"/>
        <v>-3121.7920000000004</v>
      </c>
      <c r="BA22">
        <f t="shared" ca="1" si="22"/>
        <v>-2965.7024000000001</v>
      </c>
      <c r="BB22">
        <f t="shared" ca="1" si="22"/>
        <v>-2817.4172800000001</v>
      </c>
      <c r="BC22">
        <f t="shared" ca="1" si="22"/>
        <v>-2676.5464160000001</v>
      </c>
      <c r="BD22">
        <f t="shared" ca="1" si="22"/>
        <v>-2542.7190952000001</v>
      </c>
      <c r="BE22">
        <f t="shared" ca="1" si="22"/>
        <v>-2415.5831404400001</v>
      </c>
      <c r="BF22">
        <f t="shared" ca="1" si="22"/>
        <v>-2294.8039834179999</v>
      </c>
      <c r="BG22">
        <f t="shared" ca="1" si="23"/>
        <v>46400</v>
      </c>
      <c r="BH22">
        <f t="shared" ca="1" si="24"/>
        <v>53824</v>
      </c>
      <c r="BI22">
        <f t="shared" ca="1" si="24"/>
        <v>62435.840000000004</v>
      </c>
      <c r="BJ22">
        <f t="shared" ca="1" si="24"/>
        <v>59314.048000000003</v>
      </c>
      <c r="BK22">
        <f t="shared" ca="1" si="24"/>
        <v>56348.345600000001</v>
      </c>
      <c r="BL22">
        <f t="shared" ca="1" si="24"/>
        <v>53530.928319999999</v>
      </c>
      <c r="BM22">
        <f t="shared" ca="1" si="24"/>
        <v>50854.381904000002</v>
      </c>
      <c r="BN22">
        <f t="shared" ca="1" si="24"/>
        <v>48311.6628088</v>
      </c>
      <c r="BO22">
        <f t="shared" ca="1" si="24"/>
        <v>45896.079668359998</v>
      </c>
      <c r="BP22">
        <f t="shared" ca="1" si="24"/>
        <v>43601.275684941997</v>
      </c>
      <c r="BQ22">
        <f t="shared" ca="1" si="25"/>
        <v>0.16</v>
      </c>
      <c r="BR22">
        <f t="shared" ca="1" si="26"/>
        <v>0.34560000000000002</v>
      </c>
      <c r="BS22">
        <f t="shared" ca="1" si="27"/>
        <v>0.56089600000000006</v>
      </c>
      <c r="BT22">
        <f t="shared" ca="1" si="28"/>
        <v>0.48285120000000004</v>
      </c>
      <c r="BU22">
        <f t="shared" ca="1" si="29"/>
        <v>0.40870864000000001</v>
      </c>
      <c r="BV22">
        <f t="shared" ca="1" si="30"/>
        <v>0.33827320799999999</v>
      </c>
      <c r="BW22">
        <f t="shared" ca="1" si="31"/>
        <v>0.27135954760000003</v>
      </c>
      <c r="BX22">
        <f t="shared" ca="1" si="32"/>
        <v>0.20779157022</v>
      </c>
      <c r="BY22">
        <f t="shared" ca="1" si="33"/>
        <v>0.14740199170899995</v>
      </c>
    </row>
    <row r="23" spans="1:77" x14ac:dyDescent="0.25">
      <c r="A23" s="74"/>
      <c r="B23" s="74"/>
      <c r="C23" s="194">
        <f t="shared" si="0"/>
        <v>0.25600000000000001</v>
      </c>
      <c r="D23" s="195">
        <v>-0.08</v>
      </c>
      <c r="E23" s="193">
        <f t="shared" ca="1" si="9"/>
        <v>0.10530900848580878</v>
      </c>
      <c r="F23" s="307"/>
      <c r="G23" s="232">
        <f t="shared" si="1"/>
        <v>7</v>
      </c>
      <c r="H23" s="182">
        <f t="shared" ca="1" si="10"/>
        <v>48691.878474112964</v>
      </c>
      <c r="I23" s="183" t="str">
        <f t="shared" ca="1" si="2"/>
        <v>LOSS</v>
      </c>
      <c r="J23" s="184">
        <f t="shared" ca="1" si="3"/>
        <v>-1825.9454427792361</v>
      </c>
      <c r="K23" s="185">
        <f t="shared" ca="1" si="11"/>
        <v>-3.7499999999999999E-2</v>
      </c>
      <c r="L23" s="182">
        <f t="shared" ca="1" si="4"/>
        <v>46865.933031333727</v>
      </c>
      <c r="M23" s="182">
        <f ca="1">IF($M$14="non-compounding",SUM($J$17:J23)+$C$3,IFERROR(IF(I23="win",(M22*(1-$C$10)),(M22*(1-$C$11)))+L23,""))</f>
        <v>119903.75074250317</v>
      </c>
      <c r="N23" s="186">
        <f t="shared" ca="1" si="5"/>
        <v>0.19903750742503165</v>
      </c>
      <c r="O23" s="74"/>
      <c r="Q23">
        <f t="shared" si="6"/>
        <v>7</v>
      </c>
      <c r="R23">
        <f t="shared" ca="1" si="12"/>
        <v>-3.7499999999999999E-2</v>
      </c>
      <c r="S23">
        <v>7</v>
      </c>
      <c r="T23">
        <f t="shared" ca="1" si="13"/>
        <v>-0.04</v>
      </c>
      <c r="U23">
        <f t="shared" ca="1" si="7"/>
        <v>-3.7499999999999999E-2</v>
      </c>
      <c r="V23">
        <f ca="1">COUNTIF($U$17:U22,$C$8)</f>
        <v>3</v>
      </c>
      <c r="W23">
        <f ca="1">COUNTIF($U$17:U22,$C$9)</f>
        <v>3</v>
      </c>
      <c r="Y23">
        <v>6</v>
      </c>
      <c r="Z23">
        <f t="shared" si="14"/>
        <v>-3.7499999999999999E-2</v>
      </c>
      <c r="AB23">
        <f t="shared" si="15"/>
        <v>0.15</v>
      </c>
      <c r="AC23">
        <f t="shared" ca="1" si="16"/>
        <v>-0.04</v>
      </c>
      <c r="AD23">
        <f ca="1">COUNTIF($AC$17:AC22,$D$8)</f>
        <v>1</v>
      </c>
      <c r="AE23">
        <f ca="1">COUNTIF($AC$17:AC22,$D$9)</f>
        <v>5</v>
      </c>
      <c r="AF23">
        <f t="shared" ca="1" si="17"/>
        <v>39114.821145172384</v>
      </c>
      <c r="AG23">
        <f t="shared" ca="1" si="34"/>
        <v>-1564.5928458068954</v>
      </c>
      <c r="AH23">
        <f t="shared" ca="1" si="19"/>
        <v>-0.04</v>
      </c>
      <c r="AI23">
        <f t="shared" ca="1" si="18"/>
        <v>37550.228299365488</v>
      </c>
      <c r="AJ23" s="60">
        <f ca="1">IF($M$14="non-compounding",SUM($AG$17:AG23)+$C$3,IFERROR(IF(AH23&gt;0,(AJ22*(1-$D$10)),(AJ22*(1-$D$11)))+AI23,""))</f>
        <v>96222.46001712406</v>
      </c>
      <c r="AM23">
        <f t="shared" ref="AM23:AV23" si="38">IF(AM$17&gt;ROUND($B$15*$AL$17,0),$D21,$C21)</f>
        <v>0.192</v>
      </c>
      <c r="AN23">
        <f t="shared" si="38"/>
        <v>0.192</v>
      </c>
      <c r="AO23">
        <f t="shared" si="38"/>
        <v>0.192</v>
      </c>
      <c r="AP23">
        <f t="shared" si="38"/>
        <v>-0.06</v>
      </c>
      <c r="AQ23">
        <f t="shared" si="38"/>
        <v>-0.06</v>
      </c>
      <c r="AR23">
        <f t="shared" si="38"/>
        <v>-0.06</v>
      </c>
      <c r="AS23">
        <f t="shared" si="38"/>
        <v>-0.06</v>
      </c>
      <c r="AT23">
        <f t="shared" si="38"/>
        <v>-0.06</v>
      </c>
      <c r="AU23">
        <f t="shared" si="38"/>
        <v>-0.06</v>
      </c>
      <c r="AV23">
        <f t="shared" si="38"/>
        <v>-0.06</v>
      </c>
      <c r="AW23">
        <f t="shared" ca="1" si="21"/>
        <v>7680</v>
      </c>
      <c r="AX23">
        <f t="shared" ca="1" si="22"/>
        <v>9154.56</v>
      </c>
      <c r="AY23">
        <f t="shared" ca="1" si="22"/>
        <v>10912.23552</v>
      </c>
      <c r="AZ23">
        <f t="shared" ca="1" si="22"/>
        <v>-4064.8077312</v>
      </c>
      <c r="BA23">
        <f t="shared" ca="1" si="22"/>
        <v>-3820.9192673279995</v>
      </c>
      <c r="BB23">
        <f t="shared" ca="1" si="22"/>
        <v>-3591.6641112883199</v>
      </c>
      <c r="BC23">
        <f t="shared" ca="1" si="22"/>
        <v>-3376.1642646110204</v>
      </c>
      <c r="BD23">
        <f t="shared" ca="1" si="22"/>
        <v>-3173.5944087343591</v>
      </c>
      <c r="BE23">
        <f t="shared" ca="1" si="22"/>
        <v>-2983.1787442102977</v>
      </c>
      <c r="BF23">
        <f t="shared" ca="1" si="22"/>
        <v>-2804.18801955768</v>
      </c>
      <c r="BG23">
        <f t="shared" ca="1" si="23"/>
        <v>47680</v>
      </c>
      <c r="BH23">
        <f t="shared" ca="1" si="24"/>
        <v>56834.559999999998</v>
      </c>
      <c r="BI23">
        <f t="shared" ca="1" si="24"/>
        <v>67746.79552</v>
      </c>
      <c r="BJ23">
        <f t="shared" ca="1" si="24"/>
        <v>63681.987788799997</v>
      </c>
      <c r="BK23">
        <f t="shared" ca="1" si="24"/>
        <v>59861.068521472</v>
      </c>
      <c r="BL23">
        <f t="shared" ca="1" si="24"/>
        <v>56269.404410183677</v>
      </c>
      <c r="BM23">
        <f t="shared" ca="1" si="24"/>
        <v>52893.240145572658</v>
      </c>
      <c r="BN23">
        <f t="shared" ca="1" si="24"/>
        <v>49719.645736838298</v>
      </c>
      <c r="BO23">
        <f t="shared" ca="1" si="24"/>
        <v>46736.466992628004</v>
      </c>
      <c r="BP23">
        <f t="shared" ca="1" si="24"/>
        <v>43932.278973070323</v>
      </c>
      <c r="BQ23">
        <f t="shared" ca="1" si="25"/>
        <v>0.192</v>
      </c>
      <c r="BR23">
        <f t="shared" ca="1" si="26"/>
        <v>0.42086399999999996</v>
      </c>
      <c r="BS23">
        <f t="shared" ca="1" si="27"/>
        <v>0.69366988799999996</v>
      </c>
      <c r="BT23">
        <f t="shared" ca="1" si="28"/>
        <v>0.59204969471999991</v>
      </c>
      <c r="BU23">
        <f t="shared" ca="1" si="29"/>
        <v>0.49652671303680002</v>
      </c>
      <c r="BV23">
        <f t="shared" ca="1" si="30"/>
        <v>0.40673511025459191</v>
      </c>
      <c r="BW23">
        <f t="shared" ca="1" si="31"/>
        <v>0.32233100363931644</v>
      </c>
      <c r="BX23">
        <f t="shared" ca="1" si="32"/>
        <v>0.24299114342095746</v>
      </c>
      <c r="BY23">
        <f t="shared" ca="1" si="33"/>
        <v>0.1684116748157001</v>
      </c>
    </row>
    <row r="24" spans="1:77" x14ac:dyDescent="0.25">
      <c r="A24" s="74"/>
      <c r="B24" s="74"/>
      <c r="C24" s="194">
        <f t="shared" si="0"/>
        <v>0.28799999999999998</v>
      </c>
      <c r="D24" s="195">
        <v>-0.09</v>
      </c>
      <c r="E24" s="193">
        <f t="shared" ca="1" si="9"/>
        <v>0.10417353913574097</v>
      </c>
      <c r="F24" s="307"/>
      <c r="G24" s="232">
        <f t="shared" si="1"/>
        <v>8</v>
      </c>
      <c r="H24" s="182">
        <f t="shared" ca="1" si="10"/>
        <v>47961.500297001272</v>
      </c>
      <c r="I24" s="183" t="str">
        <f t="shared" ca="1" si="2"/>
        <v>LOSS</v>
      </c>
      <c r="J24" s="184">
        <f t="shared" ca="1" si="3"/>
        <v>-1798.5562611375476</v>
      </c>
      <c r="K24" s="185">
        <f t="shared" ca="1" si="11"/>
        <v>-3.7499999999999999E-2</v>
      </c>
      <c r="L24" s="182">
        <f t="shared" ca="1" si="4"/>
        <v>46162.944035863722</v>
      </c>
      <c r="M24" s="182">
        <f ca="1">IF($M$14="non-compounding",SUM($J$17:J24)+$C$3,IFERROR(IF(I24="win",(M23*(1-$C$10)),(M23*(1-$C$11)))+L24,""))</f>
        <v>118105.19448136562</v>
      </c>
      <c r="N24" s="186">
        <f t="shared" ca="1" si="5"/>
        <v>0.18105194481365616</v>
      </c>
      <c r="O24" s="74"/>
      <c r="Q24">
        <f t="shared" si="6"/>
        <v>8</v>
      </c>
      <c r="R24">
        <f t="shared" ca="1" si="12"/>
        <v>-3.7499999999999999E-2</v>
      </c>
      <c r="S24">
        <v>8</v>
      </c>
      <c r="T24">
        <f t="shared" ca="1" si="13"/>
        <v>-0.04</v>
      </c>
      <c r="U24">
        <f t="shared" ca="1" si="7"/>
        <v>-3.7499999999999999E-2</v>
      </c>
      <c r="V24">
        <f ca="1">COUNTIF($U$17:U23,$C$8)</f>
        <v>3</v>
      </c>
      <c r="W24">
        <f ca="1">COUNTIF($U$17:U23,$C$9)</f>
        <v>4</v>
      </c>
      <c r="Y24">
        <v>7</v>
      </c>
      <c r="Z24">
        <f t="shared" si="14"/>
        <v>-3.7499999999999999E-2</v>
      </c>
      <c r="AB24">
        <f t="shared" si="15"/>
        <v>-0.04</v>
      </c>
      <c r="AC24">
        <f t="shared" ca="1" si="16"/>
        <v>-0.04</v>
      </c>
      <c r="AD24">
        <f ca="1">COUNTIF($AC$17:AC23,$D$8)</f>
        <v>1</v>
      </c>
      <c r="AE24">
        <f ca="1">COUNTIF($AC$17:AC23,$D$9)</f>
        <v>6</v>
      </c>
      <c r="AF24">
        <f t="shared" ca="1" si="17"/>
        <v>38488.984006849627</v>
      </c>
      <c r="AG24">
        <f t="shared" ca="1" si="34"/>
        <v>-1539.559360273985</v>
      </c>
      <c r="AH24">
        <f t="shared" ca="1" si="19"/>
        <v>-0.04</v>
      </c>
      <c r="AI24">
        <f t="shared" ca="1" si="18"/>
        <v>36949.424646575644</v>
      </c>
      <c r="AJ24" s="60">
        <f ca="1">IF($M$14="non-compounding",SUM($AG$17:AG24)+$C$3,IFERROR(IF(AH24&gt;0,(AJ23*(1-$D$10)),(AJ23*(1-$D$11)))+AI24,""))</f>
        <v>94682.900656850077</v>
      </c>
      <c r="AM24">
        <f t="shared" ref="AM24:AV24" si="39">IF(AM$17&gt;ROUND($B$15*$AL$17,0),$D22,$C22)</f>
        <v>0.22400000000000003</v>
      </c>
      <c r="AN24">
        <f t="shared" si="39"/>
        <v>0.22400000000000003</v>
      </c>
      <c r="AO24">
        <f t="shared" si="39"/>
        <v>0.22400000000000003</v>
      </c>
      <c r="AP24">
        <f t="shared" si="39"/>
        <v>-7.0000000000000007E-2</v>
      </c>
      <c r="AQ24">
        <f t="shared" si="39"/>
        <v>-7.0000000000000007E-2</v>
      </c>
      <c r="AR24">
        <f t="shared" si="39"/>
        <v>-7.0000000000000007E-2</v>
      </c>
      <c r="AS24">
        <f t="shared" si="39"/>
        <v>-7.0000000000000007E-2</v>
      </c>
      <c r="AT24">
        <f t="shared" si="39"/>
        <v>-7.0000000000000007E-2</v>
      </c>
      <c r="AU24">
        <f t="shared" si="39"/>
        <v>-7.0000000000000007E-2</v>
      </c>
      <c r="AV24">
        <f t="shared" si="39"/>
        <v>-7.0000000000000007E-2</v>
      </c>
      <c r="AW24">
        <f t="shared" ca="1" si="21"/>
        <v>8960.0000000000018</v>
      </c>
      <c r="AX24">
        <f t="shared" ca="1" si="22"/>
        <v>10967.04</v>
      </c>
      <c r="AY24">
        <f t="shared" ca="1" si="22"/>
        <v>13423.656960000002</v>
      </c>
      <c r="AZ24">
        <f t="shared" ca="1" si="22"/>
        <v>-5134.5487872000003</v>
      </c>
      <c r="BA24">
        <f t="shared" ca="1" si="22"/>
        <v>-4775.1303720960013</v>
      </c>
      <c r="BB24">
        <f t="shared" ca="1" si="22"/>
        <v>-4440.8712460492807</v>
      </c>
      <c r="BC24">
        <f t="shared" ca="1" si="22"/>
        <v>-4130.0102588258314</v>
      </c>
      <c r="BD24">
        <f t="shared" ca="1" si="22"/>
        <v>-3840.9095407080231</v>
      </c>
      <c r="BE24">
        <f t="shared" ca="1" si="22"/>
        <v>-3572.0458728584613</v>
      </c>
      <c r="BF24">
        <f t="shared" ca="1" si="22"/>
        <v>-3322.002661758369</v>
      </c>
      <c r="BG24">
        <f t="shared" ca="1" si="23"/>
        <v>48960</v>
      </c>
      <c r="BH24">
        <f t="shared" ca="1" si="24"/>
        <v>59927.040000000001</v>
      </c>
      <c r="BI24">
        <f t="shared" ca="1" si="24"/>
        <v>73350.696960000001</v>
      </c>
      <c r="BJ24">
        <f t="shared" ca="1" si="24"/>
        <v>68216.148172800007</v>
      </c>
      <c r="BK24">
        <f t="shared" ca="1" si="24"/>
        <v>63441.017800704009</v>
      </c>
      <c r="BL24">
        <f t="shared" ca="1" si="24"/>
        <v>59000.146554654726</v>
      </c>
      <c r="BM24">
        <f t="shared" ca="1" si="24"/>
        <v>54870.136295828896</v>
      </c>
      <c r="BN24">
        <f t="shared" ca="1" si="24"/>
        <v>51029.226755120872</v>
      </c>
      <c r="BO24">
        <f t="shared" ca="1" si="24"/>
        <v>47457.180882262408</v>
      </c>
      <c r="BP24">
        <f t="shared" ca="1" si="24"/>
        <v>44135.178220504036</v>
      </c>
      <c r="BQ24">
        <f t="shared" ca="1" si="25"/>
        <v>0.224</v>
      </c>
      <c r="BR24">
        <f t="shared" ca="1" si="26"/>
        <v>0.49817600000000001</v>
      </c>
      <c r="BS24">
        <f t="shared" ca="1" si="27"/>
        <v>0.83376742400000003</v>
      </c>
      <c r="BT24">
        <f t="shared" ca="1" si="28"/>
        <v>0.70540370432000021</v>
      </c>
      <c r="BU24">
        <f t="shared" ca="1" si="29"/>
        <v>0.58602544501760023</v>
      </c>
      <c r="BV24">
        <f t="shared" ca="1" si="30"/>
        <v>0.47500366386636816</v>
      </c>
      <c r="BW24">
        <f t="shared" ca="1" si="31"/>
        <v>0.37175340739572238</v>
      </c>
      <c r="BX24">
        <f t="shared" ca="1" si="32"/>
        <v>0.27573066887802178</v>
      </c>
      <c r="BY24">
        <f t="shared" ca="1" si="33"/>
        <v>0.18642952205656019</v>
      </c>
    </row>
    <row r="25" spans="1:77" x14ac:dyDescent="0.25">
      <c r="A25" s="74"/>
      <c r="B25" s="74"/>
      <c r="C25" s="194">
        <f t="shared" si="0"/>
        <v>0.32000000000000006</v>
      </c>
      <c r="D25" s="195">
        <v>-0.1</v>
      </c>
      <c r="E25" s="193">
        <f t="shared" ca="1" si="9"/>
        <v>0.10006756449920012</v>
      </c>
      <c r="F25" s="307"/>
      <c r="G25" s="232">
        <f t="shared" si="1"/>
        <v>9</v>
      </c>
      <c r="H25" s="182">
        <f t="shared" ca="1" si="10"/>
        <v>47242.077792546246</v>
      </c>
      <c r="I25" s="183" t="str">
        <f t="shared" ca="1" si="2"/>
        <v>LOSS</v>
      </c>
      <c r="J25" s="184">
        <f t="shared" ca="1" si="3"/>
        <v>-1771.5779172204841</v>
      </c>
      <c r="K25" s="185">
        <f t="shared" ca="1" si="11"/>
        <v>-3.7499999999999999E-2</v>
      </c>
      <c r="L25" s="182">
        <f t="shared" ca="1" si="4"/>
        <v>45470.499875325761</v>
      </c>
      <c r="M25" s="182">
        <f ca="1">IF($M$14="non-compounding",SUM($J$17:J25)+$C$3,IFERROR(IF(I25="win",(M24*(1-$C$10)),(M24*(1-$C$11)))+L25,""))</f>
        <v>116333.61656414514</v>
      </c>
      <c r="N25" s="186">
        <f t="shared" ca="1" si="5"/>
        <v>0.16333616564145137</v>
      </c>
      <c r="O25" s="74"/>
      <c r="Q25">
        <f t="shared" si="6"/>
        <v>9</v>
      </c>
      <c r="R25">
        <f t="shared" ca="1" si="12"/>
        <v>-3.7499999999999999E-2</v>
      </c>
      <c r="S25">
        <v>9</v>
      </c>
      <c r="T25">
        <f t="shared" ca="1" si="13"/>
        <v>-0.04</v>
      </c>
      <c r="U25">
        <f t="shared" ca="1" si="7"/>
        <v>-3.7499999999999999E-2</v>
      </c>
      <c r="V25">
        <f ca="1">COUNTIF($U$17:U24,$C$8)</f>
        <v>3</v>
      </c>
      <c r="W25">
        <f ca="1">COUNTIF($U$17:U24,$C$9)</f>
        <v>5</v>
      </c>
      <c r="Y25">
        <v>8</v>
      </c>
      <c r="Z25">
        <f t="shared" si="14"/>
        <v>-3.7499999999999999E-2</v>
      </c>
      <c r="AB25">
        <f t="shared" si="15"/>
        <v>-0.04</v>
      </c>
      <c r="AC25">
        <f t="shared" ca="1" si="16"/>
        <v>-0.04</v>
      </c>
      <c r="AD25">
        <f ca="1">COUNTIF($AC$17:AC24,$D$8)</f>
        <v>1</v>
      </c>
      <c r="AE25">
        <f ca="1">COUNTIF($AC$17:AC24,$D$9)</f>
        <v>7</v>
      </c>
      <c r="AF25">
        <f t="shared" ca="1" si="17"/>
        <v>37873.160262740035</v>
      </c>
      <c r="AG25">
        <f t="shared" ca="1" si="34"/>
        <v>-1514.9264105096015</v>
      </c>
      <c r="AH25">
        <f t="shared" ca="1" si="19"/>
        <v>-0.04</v>
      </c>
      <c r="AI25">
        <f t="shared" ca="1" si="18"/>
        <v>36358.233852230434</v>
      </c>
      <c r="AJ25" s="60">
        <f ca="1">IF($M$14="non-compounding",SUM($AG$17:AG25)+$C$3,IFERROR(IF(AH25&gt;0,(AJ24*(1-$D$10)),(AJ24*(1-$D$11)))+AI25,""))</f>
        <v>93167.974246340484</v>
      </c>
      <c r="AM25">
        <f t="shared" ref="AM25:AV25" si="40">IF(AM$17&gt;ROUND($B$15*$AL$17,0),$D23,$C23)</f>
        <v>0.25600000000000001</v>
      </c>
      <c r="AN25">
        <f t="shared" si="40"/>
        <v>0.25600000000000001</v>
      </c>
      <c r="AO25">
        <f t="shared" si="40"/>
        <v>0.25600000000000001</v>
      </c>
      <c r="AP25">
        <f t="shared" si="40"/>
        <v>-0.08</v>
      </c>
      <c r="AQ25">
        <f t="shared" si="40"/>
        <v>-0.08</v>
      </c>
      <c r="AR25">
        <f t="shared" si="40"/>
        <v>-0.08</v>
      </c>
      <c r="AS25">
        <f t="shared" si="40"/>
        <v>-0.08</v>
      </c>
      <c r="AT25">
        <f t="shared" si="40"/>
        <v>-0.08</v>
      </c>
      <c r="AU25">
        <f t="shared" si="40"/>
        <v>-0.08</v>
      </c>
      <c r="AV25">
        <f t="shared" si="40"/>
        <v>-0.08</v>
      </c>
      <c r="AW25">
        <f t="shared" ca="1" si="21"/>
        <v>10240</v>
      </c>
      <c r="AX25">
        <f t="shared" ca="1" si="22"/>
        <v>12861.44</v>
      </c>
      <c r="AY25">
        <f t="shared" ca="1" si="22"/>
        <v>16153.968640000001</v>
      </c>
      <c r="AZ25">
        <f t="shared" ca="1" si="22"/>
        <v>-6340.4326912000006</v>
      </c>
      <c r="BA25">
        <f t="shared" ca="1" si="22"/>
        <v>-5833.1980759040007</v>
      </c>
      <c r="BB25">
        <f t="shared" ca="1" si="22"/>
        <v>-5366.5422298316807</v>
      </c>
      <c r="BC25">
        <f t="shared" ca="1" si="22"/>
        <v>-4937.2188514451464</v>
      </c>
      <c r="BD25">
        <f t="shared" ca="1" si="22"/>
        <v>-4542.2413433295342</v>
      </c>
      <c r="BE25">
        <f t="shared" ca="1" si="22"/>
        <v>-4178.8620358631715</v>
      </c>
      <c r="BF25">
        <f t="shared" ca="1" si="22"/>
        <v>-3844.5530729941174</v>
      </c>
      <c r="BG25">
        <f t="shared" ca="1" si="23"/>
        <v>50240</v>
      </c>
      <c r="BH25">
        <f t="shared" ca="1" si="24"/>
        <v>63101.440000000002</v>
      </c>
      <c r="BI25">
        <f t="shared" ca="1" si="24"/>
        <v>79255.408640000009</v>
      </c>
      <c r="BJ25">
        <f t="shared" ca="1" si="24"/>
        <v>72914.975948800013</v>
      </c>
      <c r="BK25">
        <f t="shared" ca="1" si="24"/>
        <v>67081.777872896011</v>
      </c>
      <c r="BL25">
        <f t="shared" ca="1" si="24"/>
        <v>61715.235643064327</v>
      </c>
      <c r="BM25">
        <f t="shared" ca="1" si="24"/>
        <v>56778.016791619179</v>
      </c>
      <c r="BN25">
        <f t="shared" ca="1" si="24"/>
        <v>52235.775448289642</v>
      </c>
      <c r="BO25">
        <f t="shared" ca="1" si="24"/>
        <v>48056.913412426467</v>
      </c>
      <c r="BP25">
        <f t="shared" ca="1" si="24"/>
        <v>44212.360339432351</v>
      </c>
      <c r="BQ25">
        <f t="shared" ca="1" si="25"/>
        <v>0.25600000000000001</v>
      </c>
      <c r="BR25">
        <f t="shared" ca="1" si="26"/>
        <v>0.57753600000000005</v>
      </c>
      <c r="BS25">
        <f t="shared" ca="1" si="27"/>
        <v>0.98138521600000017</v>
      </c>
      <c r="BT25">
        <f t="shared" ca="1" si="28"/>
        <v>0.82287439872000034</v>
      </c>
      <c r="BU25">
        <f t="shared" ca="1" si="29"/>
        <v>0.67704444682240028</v>
      </c>
      <c r="BV25">
        <f t="shared" ca="1" si="30"/>
        <v>0.5428808910766082</v>
      </c>
      <c r="BW25">
        <f t="shared" ca="1" si="31"/>
        <v>0.41945041979047948</v>
      </c>
      <c r="BX25">
        <f t="shared" ca="1" si="32"/>
        <v>0.30589438620724102</v>
      </c>
      <c r="BY25">
        <f t="shared" ca="1" si="33"/>
        <v>0.20142283531066169</v>
      </c>
    </row>
    <row r="26" spans="1:77" x14ac:dyDescent="0.25">
      <c r="A26" s="74"/>
      <c r="B26" s="74"/>
      <c r="C26" s="194">
        <f t="shared" si="0"/>
        <v>0.35200000000000004</v>
      </c>
      <c r="D26" s="196">
        <f t="shared" ref="D26:D45" si="41">D25-1%</f>
        <v>-0.11</v>
      </c>
      <c r="E26" s="193">
        <f t="shared" ca="1" si="9"/>
        <v>9.3100571421457431E-2</v>
      </c>
      <c r="F26" s="307"/>
      <c r="G26" s="232">
        <f t="shared" si="1"/>
        <v>10</v>
      </c>
      <c r="H26" s="182">
        <f t="shared" ca="1" si="10"/>
        <v>46533.446625658056</v>
      </c>
      <c r="I26" s="183" t="str">
        <f t="shared" ca="1" si="2"/>
        <v>LOSS</v>
      </c>
      <c r="J26" s="184">
        <f t="shared" ca="1" si="3"/>
        <v>-1745.004248462177</v>
      </c>
      <c r="K26" s="185">
        <f t="shared" ca="1" si="11"/>
        <v>-3.7499999999999999E-2</v>
      </c>
      <c r="L26" s="182">
        <f t="shared" ca="1" si="4"/>
        <v>44788.442377195883</v>
      </c>
      <c r="M26" s="182">
        <f ca="1">IF($M$14="non-compounding",SUM($J$17:J26)+$C$3,IFERROR(IF(I26="win",(M25*(1-$C$10)),(M25*(1-$C$11)))+L26,""))</f>
        <v>114588.61231568296</v>
      </c>
      <c r="N26" s="186">
        <f t="shared" ca="1" si="5"/>
        <v>0.14588612315682956</v>
      </c>
      <c r="O26" s="74"/>
      <c r="Q26">
        <f t="shared" si="6"/>
        <v>10</v>
      </c>
      <c r="R26">
        <f t="shared" ca="1" si="12"/>
        <v>-3.7499999999999999E-2</v>
      </c>
      <c r="S26">
        <v>10</v>
      </c>
      <c r="T26">
        <f t="shared" ca="1" si="13"/>
        <v>0.15</v>
      </c>
      <c r="U26">
        <f t="shared" ca="1" si="7"/>
        <v>-3.7499999999999999E-2</v>
      </c>
      <c r="V26">
        <f ca="1">COUNTIF($U$17:U25,$C$8)</f>
        <v>3</v>
      </c>
      <c r="W26">
        <f ca="1">COUNTIF($U$17:U25,$C$9)</f>
        <v>6</v>
      </c>
      <c r="Y26">
        <v>9</v>
      </c>
      <c r="Z26">
        <f t="shared" si="14"/>
        <v>-3.7499999999999999E-2</v>
      </c>
      <c r="AB26">
        <f t="shared" si="15"/>
        <v>-0.04</v>
      </c>
      <c r="AC26">
        <f t="shared" ca="1" si="16"/>
        <v>0.15</v>
      </c>
      <c r="AD26">
        <f ca="1">COUNTIF($AC$17:AC25,$D$8)</f>
        <v>1</v>
      </c>
      <c r="AE26">
        <f ca="1">COUNTIF($AC$17:AC25,$D$9)</f>
        <v>8</v>
      </c>
      <c r="AF26">
        <f t="shared" ca="1" si="17"/>
        <v>37267.189698536196</v>
      </c>
      <c r="AG26">
        <f t="shared" ca="1" si="34"/>
        <v>5590.0784547804296</v>
      </c>
      <c r="AH26">
        <f t="shared" ca="1" si="19"/>
        <v>0.15</v>
      </c>
      <c r="AI26">
        <f t="shared" ca="1" si="18"/>
        <v>42857.268153316625</v>
      </c>
      <c r="AJ26" s="60">
        <f ca="1">IF($M$14="non-compounding",SUM($AG$17:AG26)+$C$3,IFERROR(IF(AH26&gt;0,(AJ25*(1-$D$10)),(AJ25*(1-$D$11)))+AI26,""))</f>
        <v>98758.052701120905</v>
      </c>
      <c r="AM26">
        <f t="shared" ref="AM26:AV26" si="42">IF(AM$17&gt;ROUND($B$15*$AL$17,0),$D24,$C24)</f>
        <v>0.28799999999999998</v>
      </c>
      <c r="AN26">
        <f t="shared" si="42"/>
        <v>0.28799999999999998</v>
      </c>
      <c r="AO26">
        <f t="shared" si="42"/>
        <v>0.28799999999999998</v>
      </c>
      <c r="AP26">
        <f t="shared" si="42"/>
        <v>-0.09</v>
      </c>
      <c r="AQ26">
        <f t="shared" si="42"/>
        <v>-0.09</v>
      </c>
      <c r="AR26">
        <f t="shared" si="42"/>
        <v>-0.09</v>
      </c>
      <c r="AS26">
        <f t="shared" si="42"/>
        <v>-0.09</v>
      </c>
      <c r="AT26">
        <f t="shared" si="42"/>
        <v>-0.09</v>
      </c>
      <c r="AU26">
        <f t="shared" si="42"/>
        <v>-0.09</v>
      </c>
      <c r="AV26">
        <f t="shared" si="42"/>
        <v>-0.09</v>
      </c>
      <c r="AW26">
        <f t="shared" ca="1" si="21"/>
        <v>11520</v>
      </c>
      <c r="AX26">
        <f t="shared" ca="1" si="22"/>
        <v>14837.759999999998</v>
      </c>
      <c r="AY26">
        <f t="shared" ca="1" si="22"/>
        <v>19111.034879999996</v>
      </c>
      <c r="AZ26">
        <f t="shared" ca="1" si="22"/>
        <v>-7692.1915391999983</v>
      </c>
      <c r="BA26">
        <f t="shared" ca="1" si="22"/>
        <v>-6999.8943006719992</v>
      </c>
      <c r="BB26">
        <f t="shared" ca="1" si="22"/>
        <v>-6369.9038136115196</v>
      </c>
      <c r="BC26">
        <f t="shared" ca="1" si="22"/>
        <v>-5796.6124703864834</v>
      </c>
      <c r="BD26">
        <f t="shared" ca="1" si="22"/>
        <v>-5274.9173480516993</v>
      </c>
      <c r="BE26">
        <f t="shared" ca="1" si="22"/>
        <v>-4800.1747867270469</v>
      </c>
      <c r="BF26">
        <f t="shared" ca="1" si="22"/>
        <v>-4368.1590559216129</v>
      </c>
      <c r="BG26">
        <f t="shared" ca="1" si="23"/>
        <v>51520</v>
      </c>
      <c r="BH26">
        <f t="shared" ca="1" si="24"/>
        <v>66357.759999999995</v>
      </c>
      <c r="BI26">
        <f t="shared" ca="1" si="24"/>
        <v>85468.794879999987</v>
      </c>
      <c r="BJ26">
        <f t="shared" ca="1" si="24"/>
        <v>77776.603340799993</v>
      </c>
      <c r="BK26">
        <f t="shared" ca="1" si="24"/>
        <v>70776.709040128</v>
      </c>
      <c r="BL26">
        <f t="shared" ca="1" si="24"/>
        <v>64406.805226516481</v>
      </c>
      <c r="BM26">
        <f t="shared" ca="1" si="24"/>
        <v>58610.192756129996</v>
      </c>
      <c r="BN26">
        <f t="shared" ca="1" si="24"/>
        <v>53335.275408078298</v>
      </c>
      <c r="BO26">
        <f t="shared" ca="1" si="24"/>
        <v>48535.100621351252</v>
      </c>
      <c r="BP26">
        <f t="shared" ca="1" si="24"/>
        <v>44166.941565429639</v>
      </c>
      <c r="BQ26">
        <f t="shared" ca="1" si="25"/>
        <v>0.28799999999999998</v>
      </c>
      <c r="BR26">
        <f t="shared" ca="1" si="26"/>
        <v>0.65894399999999986</v>
      </c>
      <c r="BS26">
        <f t="shared" ca="1" si="27"/>
        <v>1.1367198719999996</v>
      </c>
      <c r="BT26">
        <f t="shared" ca="1" si="28"/>
        <v>0.94441508351999981</v>
      </c>
      <c r="BU26">
        <f t="shared" ca="1" si="29"/>
        <v>0.76941772600320002</v>
      </c>
      <c r="BV26">
        <f t="shared" ca="1" si="30"/>
        <v>0.61017013066291204</v>
      </c>
      <c r="BW26">
        <f t="shared" ca="1" si="31"/>
        <v>0.46525481890324993</v>
      </c>
      <c r="BX26">
        <f t="shared" ca="1" si="32"/>
        <v>0.33338188520195744</v>
      </c>
      <c r="BY26">
        <f t="shared" ca="1" si="33"/>
        <v>0.21337751553378129</v>
      </c>
    </row>
    <row r="27" spans="1:77" x14ac:dyDescent="0.25">
      <c r="A27" s="74"/>
      <c r="B27" s="74"/>
      <c r="C27" s="194">
        <f t="shared" si="0"/>
        <v>0.38400000000000001</v>
      </c>
      <c r="D27" s="196">
        <f t="shared" si="41"/>
        <v>-0.12</v>
      </c>
      <c r="E27" s="193">
        <f t="shared" ca="1" si="9"/>
        <v>8.3395370398552771E-2</v>
      </c>
      <c r="F27" s="307"/>
      <c r="G27" s="232">
        <f t="shared" si="1"/>
        <v>11</v>
      </c>
      <c r="H27" s="182">
        <f t="shared" ca="1" si="10"/>
        <v>45835.444926273187</v>
      </c>
      <c r="I27" s="183" t="str">
        <f t="shared" ca="1" si="2"/>
        <v>LOSS</v>
      </c>
      <c r="J27" s="184">
        <f t="shared" ca="1" si="3"/>
        <v>-1718.8291847352446</v>
      </c>
      <c r="K27" s="185">
        <f t="shared" ca="1" si="11"/>
        <v>-3.7499999999999999E-2</v>
      </c>
      <c r="L27" s="182">
        <f t="shared" ca="1" si="4"/>
        <v>44116.615741537942</v>
      </c>
      <c r="M27" s="182">
        <f ca="1">IF($M$14="non-compounding",SUM($J$17:J27)+$C$3,IFERROR(IF(I27="win",(M26*(1-$C$10)),(M26*(1-$C$11)))+L27,""))</f>
        <v>112869.78313094772</v>
      </c>
      <c r="N27" s="186">
        <f t="shared" ca="1" si="5"/>
        <v>0.12869783130947718</v>
      </c>
      <c r="O27" s="74"/>
      <c r="Q27">
        <f t="shared" si="6"/>
        <v>11</v>
      </c>
      <c r="R27">
        <f t="shared" ca="1" si="12"/>
        <v>-3.7499999999999999E-2</v>
      </c>
      <c r="S27">
        <v>11</v>
      </c>
      <c r="T27">
        <f t="shared" ca="1" si="13"/>
        <v>-0.04</v>
      </c>
      <c r="U27">
        <f t="shared" ca="1" si="7"/>
        <v>-3.7499999999999999E-2</v>
      </c>
      <c r="V27">
        <f ca="1">COUNTIF($U$17:U26,$C$8)</f>
        <v>3</v>
      </c>
      <c r="W27">
        <f ca="1">COUNTIF($U$17:U26,$C$9)</f>
        <v>7</v>
      </c>
      <c r="Y27">
        <v>10</v>
      </c>
      <c r="Z27">
        <f t="shared" si="14"/>
        <v>-3.7499999999999999E-2</v>
      </c>
      <c r="AB27">
        <f t="shared" si="15"/>
        <v>-0.04</v>
      </c>
      <c r="AC27">
        <f t="shared" ca="1" si="16"/>
        <v>-0.04</v>
      </c>
      <c r="AD27">
        <f ca="1">COUNTIF($AC$17:AC26,$D$8)</f>
        <v>2</v>
      </c>
      <c r="AE27">
        <f ca="1">COUNTIF($AC$17:AC26,$D$9)</f>
        <v>8</v>
      </c>
      <c r="AF27">
        <f t="shared" ca="1" si="17"/>
        <v>39503.221080448362</v>
      </c>
      <c r="AG27">
        <f t="shared" ca="1" si="34"/>
        <v>-1580.1288432179344</v>
      </c>
      <c r="AH27">
        <f t="shared" ca="1" si="19"/>
        <v>-0.04</v>
      </c>
      <c r="AI27">
        <f t="shared" ca="1" si="18"/>
        <v>37923.092237230427</v>
      </c>
      <c r="AJ27" s="60">
        <f ca="1">IF($M$14="non-compounding",SUM($AG$17:AG27)+$C$3,IFERROR(IF(AH27&gt;0,(AJ26*(1-$D$10)),(AJ26*(1-$D$11)))+AI27,""))</f>
        <v>97177.923857902962</v>
      </c>
      <c r="AM27">
        <f t="shared" ref="AM27:AV27" si="43">IF(AM$17&gt;ROUND($B$15*$AL$17,0),$D25,$C25)</f>
        <v>0.32000000000000006</v>
      </c>
      <c r="AN27">
        <f t="shared" si="43"/>
        <v>0.32000000000000006</v>
      </c>
      <c r="AO27">
        <f t="shared" si="43"/>
        <v>0.32000000000000006</v>
      </c>
      <c r="AP27">
        <f t="shared" si="43"/>
        <v>-0.1</v>
      </c>
      <c r="AQ27">
        <f t="shared" si="43"/>
        <v>-0.1</v>
      </c>
      <c r="AR27">
        <f t="shared" si="43"/>
        <v>-0.1</v>
      </c>
      <c r="AS27">
        <f t="shared" si="43"/>
        <v>-0.1</v>
      </c>
      <c r="AT27">
        <f t="shared" si="43"/>
        <v>-0.1</v>
      </c>
      <c r="AU27">
        <f t="shared" si="43"/>
        <v>-0.1</v>
      </c>
      <c r="AV27">
        <f t="shared" si="43"/>
        <v>-0.1</v>
      </c>
      <c r="AW27">
        <f t="shared" ca="1" si="21"/>
        <v>12800.000000000002</v>
      </c>
      <c r="AX27">
        <f t="shared" ca="1" si="22"/>
        <v>16896.000000000004</v>
      </c>
      <c r="AY27">
        <f t="shared" ca="1" si="22"/>
        <v>22302.720000000005</v>
      </c>
      <c r="AZ27">
        <f t="shared" ca="1" si="22"/>
        <v>-9199.8720000000012</v>
      </c>
      <c r="BA27">
        <f t="shared" ca="1" si="22"/>
        <v>-8279.8847999999998</v>
      </c>
      <c r="BB27">
        <f t="shared" ca="1" si="22"/>
        <v>-7451.8963199999998</v>
      </c>
      <c r="BC27">
        <f t="shared" ca="1" si="22"/>
        <v>-6706.7066880000002</v>
      </c>
      <c r="BD27">
        <f t="shared" ca="1" si="22"/>
        <v>-6036.0360192000007</v>
      </c>
      <c r="BE27">
        <f t="shared" ca="1" si="22"/>
        <v>-5432.4324172800007</v>
      </c>
      <c r="BF27">
        <f t="shared" ca="1" si="22"/>
        <v>-4889.1891755520001</v>
      </c>
      <c r="BG27">
        <f t="shared" ca="1" si="23"/>
        <v>52800</v>
      </c>
      <c r="BH27">
        <f t="shared" ca="1" si="24"/>
        <v>69696</v>
      </c>
      <c r="BI27">
        <f t="shared" ca="1" si="24"/>
        <v>91998.720000000001</v>
      </c>
      <c r="BJ27">
        <f t="shared" ca="1" si="24"/>
        <v>82798.847999999998</v>
      </c>
      <c r="BK27">
        <f t="shared" ca="1" si="24"/>
        <v>74518.963199999998</v>
      </c>
      <c r="BL27">
        <f t="shared" ca="1" si="24"/>
        <v>67067.066879999998</v>
      </c>
      <c r="BM27">
        <f t="shared" ca="1" si="24"/>
        <v>60360.360192</v>
      </c>
      <c r="BN27">
        <f t="shared" ca="1" si="24"/>
        <v>54324.324172799999</v>
      </c>
      <c r="BO27">
        <f t="shared" ca="1" si="24"/>
        <v>48891.891755520002</v>
      </c>
      <c r="BP27">
        <f t="shared" ca="1" si="24"/>
        <v>44002.702579968005</v>
      </c>
      <c r="BQ27">
        <f t="shared" ca="1" si="25"/>
        <v>0.32</v>
      </c>
      <c r="BR27">
        <f t="shared" ca="1" si="26"/>
        <v>0.74239999999999995</v>
      </c>
      <c r="BS27">
        <f t="shared" ca="1" si="27"/>
        <v>1.299968</v>
      </c>
      <c r="BT27">
        <f t="shared" ca="1" si="28"/>
        <v>1.0699711999999999</v>
      </c>
      <c r="BU27">
        <f t="shared" ca="1" si="29"/>
        <v>0.86297407999999998</v>
      </c>
      <c r="BV27">
        <f t="shared" ca="1" si="30"/>
        <v>0.67667667199999992</v>
      </c>
      <c r="BW27">
        <f t="shared" ca="1" si="31"/>
        <v>0.5090090048</v>
      </c>
      <c r="BX27">
        <f t="shared" ca="1" si="32"/>
        <v>0.35810810432000001</v>
      </c>
      <c r="BY27">
        <f t="shared" ca="1" si="33"/>
        <v>0.22229729388800007</v>
      </c>
    </row>
    <row r="28" spans="1:77" x14ac:dyDescent="0.25">
      <c r="A28" s="74"/>
      <c r="B28" s="74"/>
      <c r="C28" s="194">
        <f t="shared" si="0"/>
        <v>0.41600000000000004</v>
      </c>
      <c r="D28" s="196">
        <f t="shared" si="41"/>
        <v>-0.13</v>
      </c>
      <c r="E28" s="193">
        <f t="shared" ca="1" si="9"/>
        <v>7.108645783796437E-2</v>
      </c>
      <c r="F28" s="307"/>
      <c r="G28" s="232">
        <f t="shared" si="1"/>
        <v>12</v>
      </c>
      <c r="H28" s="182">
        <f t="shared" ca="1" si="10"/>
        <v>79008.848191663405</v>
      </c>
      <c r="I28" s="183" t="str">
        <f t="shared" ca="1" si="2"/>
        <v>WIN</v>
      </c>
      <c r="J28" s="184">
        <f t="shared" ca="1" si="3"/>
        <v>9481.0617829996081</v>
      </c>
      <c r="K28" s="185">
        <f t="shared" ca="1" si="11"/>
        <v>0.12</v>
      </c>
      <c r="L28" s="182">
        <f t="shared" ca="1" si="4"/>
        <v>88489.909974663009</v>
      </c>
      <c r="M28" s="182">
        <f ca="1">IF($M$14="non-compounding",SUM($J$17:J28)+$C$3,IFERROR(IF(I28="win",(M27*(1-$C$10)),(M27*(1-$C$11)))+L28,""))</f>
        <v>122350.84491394734</v>
      </c>
      <c r="N28" s="186">
        <f t="shared" ca="1" si="5"/>
        <v>0.22350844913947338</v>
      </c>
      <c r="O28" s="74"/>
      <c r="Q28">
        <f t="shared" si="6"/>
        <v>12</v>
      </c>
      <c r="R28">
        <f t="shared" ca="1" si="12"/>
        <v>0.12</v>
      </c>
      <c r="S28">
        <v>12</v>
      </c>
      <c r="T28">
        <f t="shared" ca="1" si="13"/>
        <v>-0.04</v>
      </c>
      <c r="U28">
        <f t="shared" ca="1" si="7"/>
        <v>0.12</v>
      </c>
      <c r="V28">
        <f ca="1">COUNTIF($U$17:U27,$C$8)</f>
        <v>3</v>
      </c>
      <c r="W28">
        <f ca="1">COUNTIF($U$17:U27,$C$9)</f>
        <v>8</v>
      </c>
      <c r="Y28">
        <v>11</v>
      </c>
      <c r="Z28">
        <f t="shared" si="14"/>
        <v>-3.7499999999999999E-2</v>
      </c>
      <c r="AB28">
        <f t="shared" si="15"/>
        <v>-0.04</v>
      </c>
      <c r="AC28">
        <f t="shared" ca="1" si="16"/>
        <v>-0.04</v>
      </c>
      <c r="AD28">
        <f ca="1">COUNTIF($AC$17:AC27,$D$8)</f>
        <v>2</v>
      </c>
      <c r="AE28">
        <f ca="1">COUNTIF($AC$17:AC27,$D$9)</f>
        <v>9</v>
      </c>
      <c r="AF28">
        <f t="shared" ca="1" si="17"/>
        <v>38871.169543161188</v>
      </c>
      <c r="AG28">
        <f t="shared" ca="1" si="34"/>
        <v>-1554.8467817264475</v>
      </c>
      <c r="AH28">
        <f t="shared" ca="1" si="19"/>
        <v>-0.04</v>
      </c>
      <c r="AI28">
        <f t="shared" ca="1" si="18"/>
        <v>37316.322761434742</v>
      </c>
      <c r="AJ28" s="60">
        <f ca="1">IF($M$14="non-compounding",SUM($AG$17:AG28)+$C$3,IFERROR(IF(AH28&gt;0,(AJ27*(1-$D$10)),(AJ27*(1-$D$11)))+AI28,""))</f>
        <v>95623.077076176516</v>
      </c>
      <c r="AM28">
        <f t="shared" ref="AM28:AV28" si="44">IF(AM$17&gt;ROUND($B$15*$AL$17,0),$D26,$C26)</f>
        <v>0.35200000000000004</v>
      </c>
      <c r="AN28">
        <f t="shared" si="44"/>
        <v>0.35200000000000004</v>
      </c>
      <c r="AO28">
        <f t="shared" si="44"/>
        <v>0.35200000000000004</v>
      </c>
      <c r="AP28">
        <f t="shared" si="44"/>
        <v>-0.11</v>
      </c>
      <c r="AQ28">
        <f t="shared" si="44"/>
        <v>-0.11</v>
      </c>
      <c r="AR28">
        <f t="shared" si="44"/>
        <v>-0.11</v>
      </c>
      <c r="AS28">
        <f t="shared" si="44"/>
        <v>-0.11</v>
      </c>
      <c r="AT28">
        <f t="shared" si="44"/>
        <v>-0.11</v>
      </c>
      <c r="AU28">
        <f t="shared" si="44"/>
        <v>-0.11</v>
      </c>
      <c r="AV28">
        <f t="shared" si="44"/>
        <v>-0.11</v>
      </c>
      <c r="AW28">
        <f t="shared" ca="1" si="21"/>
        <v>14080.000000000002</v>
      </c>
      <c r="AX28">
        <f t="shared" ca="1" si="22"/>
        <v>19036.160000000003</v>
      </c>
      <c r="AY28">
        <f t="shared" ca="1" si="22"/>
        <v>25736.888320000005</v>
      </c>
      <c r="AZ28">
        <f t="shared" ca="1" si="22"/>
        <v>-10873.8353152</v>
      </c>
      <c r="BA28">
        <f t="shared" ca="1" si="22"/>
        <v>-9677.7134305279997</v>
      </c>
      <c r="BB28">
        <f t="shared" ca="1" si="22"/>
        <v>-8613.1649531699186</v>
      </c>
      <c r="BC28">
        <f t="shared" ca="1" si="22"/>
        <v>-7665.7168083212273</v>
      </c>
      <c r="BD28">
        <f t="shared" ca="1" si="22"/>
        <v>-6822.4879594058921</v>
      </c>
      <c r="BE28">
        <f t="shared" ca="1" si="22"/>
        <v>-6072.0142838712436</v>
      </c>
      <c r="BF28">
        <f t="shared" ca="1" si="22"/>
        <v>-5404.0927126454071</v>
      </c>
      <c r="BG28">
        <f t="shared" ca="1" si="23"/>
        <v>54080</v>
      </c>
      <c r="BH28">
        <f t="shared" ca="1" si="24"/>
        <v>73116.160000000003</v>
      </c>
      <c r="BI28">
        <f t="shared" ca="1" si="24"/>
        <v>98853.048320000002</v>
      </c>
      <c r="BJ28">
        <f t="shared" ca="1" si="24"/>
        <v>87979.213004799996</v>
      </c>
      <c r="BK28">
        <f t="shared" ca="1" si="24"/>
        <v>78301.499574271991</v>
      </c>
      <c r="BL28">
        <f t="shared" ca="1" si="24"/>
        <v>69688.334621102069</v>
      </c>
      <c r="BM28">
        <f t="shared" ca="1" si="24"/>
        <v>62022.617812780838</v>
      </c>
      <c r="BN28">
        <f t="shared" ca="1" si="24"/>
        <v>55200.129853374943</v>
      </c>
      <c r="BO28">
        <f t="shared" ca="1" si="24"/>
        <v>49128.115569503701</v>
      </c>
      <c r="BP28">
        <f t="shared" ca="1" si="24"/>
        <v>43724.022856858297</v>
      </c>
      <c r="BQ28">
        <f t="shared" ca="1" si="25"/>
        <v>0.35199999999999998</v>
      </c>
      <c r="BR28">
        <f t="shared" ca="1" si="26"/>
        <v>0.82790400000000008</v>
      </c>
      <c r="BS28">
        <f t="shared" ca="1" si="27"/>
        <v>1.471326208</v>
      </c>
      <c r="BT28">
        <f t="shared" ca="1" si="28"/>
        <v>1.1994803251199999</v>
      </c>
      <c r="BU28">
        <f t="shared" ca="1" si="29"/>
        <v>0.95753748935679983</v>
      </c>
      <c r="BV28">
        <f t="shared" ca="1" si="30"/>
        <v>0.74220836552755176</v>
      </c>
      <c r="BW28">
        <f t="shared" ca="1" si="31"/>
        <v>0.5505654453195209</v>
      </c>
      <c r="BX28">
        <f t="shared" ca="1" si="32"/>
        <v>0.3800032463343736</v>
      </c>
      <c r="BY28">
        <f t="shared" ca="1" si="33"/>
        <v>0.22820288923759255</v>
      </c>
    </row>
    <row r="29" spans="1:77" x14ac:dyDescent="0.25">
      <c r="A29" s="74"/>
      <c r="B29" s="74"/>
      <c r="C29" s="194">
        <f t="shared" si="0"/>
        <v>0.44800000000000006</v>
      </c>
      <c r="D29" s="196">
        <f t="shared" si="41"/>
        <v>-0.14000000000000001</v>
      </c>
      <c r="E29" s="193">
        <f t="shared" ca="1" si="9"/>
        <v>5.6318398689596504E-2</v>
      </c>
      <c r="F29" s="307"/>
      <c r="G29" s="232">
        <f t="shared" si="1"/>
        <v>13</v>
      </c>
      <c r="H29" s="182">
        <f t="shared" ca="1" si="10"/>
        <v>85645.591439763128</v>
      </c>
      <c r="I29" s="183" t="str">
        <f t="shared" ca="1" si="2"/>
        <v>WIN</v>
      </c>
      <c r="J29" s="184">
        <f t="shared" ca="1" si="3"/>
        <v>10277.470972771574</v>
      </c>
      <c r="K29" s="185">
        <f t="shared" ca="1" si="11"/>
        <v>0.12</v>
      </c>
      <c r="L29" s="182">
        <f t="shared" ca="1" si="4"/>
        <v>95923.062412534695</v>
      </c>
      <c r="M29" s="182">
        <f ca="1">IF($M$14="non-compounding",SUM($J$17:J29)+$C$3,IFERROR(IF(I29="win",(M28*(1-$C$10)),(M28*(1-$C$11)))+L29,""))</f>
        <v>132628.31588671892</v>
      </c>
      <c r="N29" s="186">
        <f t="shared" ca="1" si="5"/>
        <v>0.32628315886718917</v>
      </c>
      <c r="O29" s="74"/>
      <c r="Q29">
        <f t="shared" si="6"/>
        <v>13</v>
      </c>
      <c r="R29">
        <f t="shared" ca="1" si="12"/>
        <v>0.12</v>
      </c>
      <c r="S29">
        <v>13</v>
      </c>
      <c r="T29">
        <f t="shared" ca="1" si="13"/>
        <v>0.15</v>
      </c>
      <c r="U29">
        <f t="shared" ca="1" si="7"/>
        <v>0.12</v>
      </c>
      <c r="V29">
        <f ca="1">COUNTIF($U$17:U28,$C$8)</f>
        <v>4</v>
      </c>
      <c r="W29">
        <f ca="1">COUNTIF($U$17:U28,$C$9)</f>
        <v>8</v>
      </c>
      <c r="Y29">
        <v>12</v>
      </c>
      <c r="Z29">
        <f t="shared" si="14"/>
        <v>-3.7499999999999999E-2</v>
      </c>
      <c r="AB29">
        <f t="shared" si="15"/>
        <v>-0.04</v>
      </c>
      <c r="AC29">
        <f t="shared" ca="1" si="16"/>
        <v>0.15</v>
      </c>
      <c r="AD29">
        <f ca="1">COUNTIF($AC$17:AC28,$D$8)</f>
        <v>2</v>
      </c>
      <c r="AE29">
        <f ca="1">COUNTIF($AC$17:AC28,$D$9)</f>
        <v>10</v>
      </c>
      <c r="AF29">
        <f t="shared" ca="1" si="17"/>
        <v>38249.230830470609</v>
      </c>
      <c r="AG29">
        <f t="shared" ca="1" si="34"/>
        <v>5737.3846245705909</v>
      </c>
      <c r="AH29">
        <f t="shared" ca="1" si="19"/>
        <v>0.15</v>
      </c>
      <c r="AI29">
        <f t="shared" ca="1" si="18"/>
        <v>43986.615455041203</v>
      </c>
      <c r="AJ29" s="60">
        <f ca="1">IF($M$14="non-compounding",SUM($AG$17:AG29)+$C$3,IFERROR(IF(AH29&gt;0,(AJ28*(1-$D$10)),(AJ28*(1-$D$11)))+AI29,""))</f>
        <v>101360.46170074711</v>
      </c>
      <c r="AM29">
        <f t="shared" ref="AM29:AV29" si="45">IF(AM$17&gt;ROUND($B$15*$AL$17,0),$D27,$C27)</f>
        <v>0.38400000000000001</v>
      </c>
      <c r="AN29">
        <f t="shared" si="45"/>
        <v>0.38400000000000001</v>
      </c>
      <c r="AO29">
        <f t="shared" si="45"/>
        <v>0.38400000000000001</v>
      </c>
      <c r="AP29">
        <f t="shared" si="45"/>
        <v>-0.12</v>
      </c>
      <c r="AQ29">
        <f t="shared" si="45"/>
        <v>-0.12</v>
      </c>
      <c r="AR29">
        <f t="shared" si="45"/>
        <v>-0.12</v>
      </c>
      <c r="AS29">
        <f t="shared" si="45"/>
        <v>-0.12</v>
      </c>
      <c r="AT29">
        <f t="shared" si="45"/>
        <v>-0.12</v>
      </c>
      <c r="AU29">
        <f t="shared" si="45"/>
        <v>-0.12</v>
      </c>
      <c r="AV29">
        <f t="shared" si="45"/>
        <v>-0.12</v>
      </c>
      <c r="AW29">
        <f t="shared" ca="1" si="21"/>
        <v>15360</v>
      </c>
      <c r="AX29">
        <f t="shared" ca="1" si="22"/>
        <v>21258.240000000002</v>
      </c>
      <c r="AY29">
        <f t="shared" ca="1" si="22"/>
        <v>29421.404160000002</v>
      </c>
      <c r="AZ29">
        <f t="shared" ca="1" si="22"/>
        <v>-12724.7572992</v>
      </c>
      <c r="BA29">
        <f t="shared" ca="1" si="22"/>
        <v>-11197.786423296</v>
      </c>
      <c r="BB29">
        <f t="shared" ca="1" si="22"/>
        <v>-9854.0520525004813</v>
      </c>
      <c r="BC29">
        <f t="shared" ca="1" si="22"/>
        <v>-8671.5658062004222</v>
      </c>
      <c r="BD29">
        <f t="shared" ca="1" si="22"/>
        <v>-7630.9779094563719</v>
      </c>
      <c r="BE29">
        <f t="shared" ca="1" si="22"/>
        <v>-6715.260560321607</v>
      </c>
      <c r="BF29">
        <f t="shared" ca="1" si="22"/>
        <v>-5909.4292930830143</v>
      </c>
      <c r="BG29">
        <f t="shared" ca="1" si="23"/>
        <v>55360</v>
      </c>
      <c r="BH29">
        <f t="shared" ca="1" si="24"/>
        <v>76618.240000000005</v>
      </c>
      <c r="BI29">
        <f t="shared" ca="1" si="24"/>
        <v>106039.64416000001</v>
      </c>
      <c r="BJ29">
        <f t="shared" ca="1" si="24"/>
        <v>93314.886860800005</v>
      </c>
      <c r="BK29">
        <f t="shared" ca="1" si="24"/>
        <v>82117.100437504007</v>
      </c>
      <c r="BL29">
        <f t="shared" ca="1" si="24"/>
        <v>72263.048385003523</v>
      </c>
      <c r="BM29">
        <f t="shared" ca="1" si="24"/>
        <v>63591.482578803101</v>
      </c>
      <c r="BN29">
        <f t="shared" ca="1" si="24"/>
        <v>55960.50466934673</v>
      </c>
      <c r="BO29">
        <f t="shared" ca="1" si="24"/>
        <v>49245.244109025123</v>
      </c>
      <c r="BP29">
        <f t="shared" ca="1" si="24"/>
        <v>43335.814815942111</v>
      </c>
      <c r="BQ29">
        <f t="shared" ca="1" si="25"/>
        <v>0.38400000000000001</v>
      </c>
      <c r="BR29">
        <f t="shared" ca="1" si="26"/>
        <v>0.91545600000000016</v>
      </c>
      <c r="BS29">
        <f t="shared" ca="1" si="27"/>
        <v>1.6509911040000003</v>
      </c>
      <c r="BT29">
        <f t="shared" ca="1" si="28"/>
        <v>1.33287217152</v>
      </c>
      <c r="BU29">
        <f t="shared" ca="1" si="29"/>
        <v>1.0529275109376002</v>
      </c>
      <c r="BV29">
        <f t="shared" ca="1" si="30"/>
        <v>0.80657620962508814</v>
      </c>
      <c r="BW29">
        <f t="shared" ca="1" si="31"/>
        <v>0.58978706447007756</v>
      </c>
      <c r="BX29">
        <f t="shared" ca="1" si="32"/>
        <v>0.39901261673366828</v>
      </c>
      <c r="BY29">
        <f t="shared" ca="1" si="33"/>
        <v>0.23113110272562809</v>
      </c>
    </row>
    <row r="30" spans="1:77" x14ac:dyDescent="0.25">
      <c r="A30" s="74"/>
      <c r="B30" s="74"/>
      <c r="C30" s="194">
        <f t="shared" si="0"/>
        <v>0.48000000000000009</v>
      </c>
      <c r="D30" s="196">
        <f t="shared" si="41"/>
        <v>-0.15000000000000002</v>
      </c>
      <c r="E30" s="193">
        <f t="shared" ca="1" si="9"/>
        <v>3.9244240173449726E-2</v>
      </c>
      <c r="F30" s="307"/>
      <c r="G30" s="232">
        <f t="shared" si="1"/>
        <v>14</v>
      </c>
      <c r="H30" s="182">
        <f t="shared" ca="1" si="10"/>
        <v>92839.821120703244</v>
      </c>
      <c r="I30" s="183" t="str">
        <f t="shared" ca="1" si="2"/>
        <v>WIN</v>
      </c>
      <c r="J30" s="184">
        <f t="shared" ca="1" si="3"/>
        <v>11140.778534484389</v>
      </c>
      <c r="K30" s="185">
        <f t="shared" ca="1" si="11"/>
        <v>0.12</v>
      </c>
      <c r="L30" s="182">
        <f t="shared" ca="1" si="4"/>
        <v>103980.59965518763</v>
      </c>
      <c r="M30" s="182">
        <f ca="1">IF($M$14="non-compounding",SUM($J$17:J30)+$C$3,IFERROR(IF(I30="win",(M29*(1-$C$10)),(M29*(1-$C$11)))+L30,""))</f>
        <v>143769.09442120331</v>
      </c>
      <c r="N30" s="186">
        <f t="shared" ca="1" si="5"/>
        <v>0.43769094421203308</v>
      </c>
      <c r="O30" s="74"/>
      <c r="Q30">
        <f t="shared" si="6"/>
        <v>14</v>
      </c>
      <c r="R30">
        <f t="shared" ca="1" si="12"/>
        <v>0.12</v>
      </c>
      <c r="S30">
        <v>14</v>
      </c>
      <c r="T30">
        <f t="shared" ca="1" si="13"/>
        <v>0.15</v>
      </c>
      <c r="U30">
        <f t="shared" ca="1" si="7"/>
        <v>0.12</v>
      </c>
      <c r="V30">
        <f ca="1">COUNTIF($U$17:U29,$C$8)</f>
        <v>5</v>
      </c>
      <c r="W30">
        <f ca="1">COUNTIF($U$17:U29,$C$9)</f>
        <v>8</v>
      </c>
      <c r="Y30">
        <v>13</v>
      </c>
      <c r="Z30">
        <f t="shared" si="14"/>
        <v>-3.7499999999999999E-2</v>
      </c>
      <c r="AB30">
        <f t="shared" si="15"/>
        <v>-0.04</v>
      </c>
      <c r="AC30">
        <f t="shared" ca="1" si="16"/>
        <v>0.15</v>
      </c>
      <c r="AD30">
        <f ca="1">COUNTIF($AC$17:AC29,$D$8)</f>
        <v>3</v>
      </c>
      <c r="AE30">
        <f ca="1">COUNTIF($AC$17:AC29,$D$9)</f>
        <v>10</v>
      </c>
      <c r="AF30">
        <f t="shared" ca="1" si="17"/>
        <v>40544.184680298844</v>
      </c>
      <c r="AG30">
        <f t="shared" ca="1" si="34"/>
        <v>6081.627702044826</v>
      </c>
      <c r="AH30">
        <f t="shared" ca="1" si="19"/>
        <v>0.15</v>
      </c>
      <c r="AI30">
        <f t="shared" ca="1" si="18"/>
        <v>46625.812382343669</v>
      </c>
      <c r="AJ30" s="60">
        <f ca="1">IF($M$14="non-compounding",SUM($AG$17:AG30)+$C$3,IFERROR(IF(AH30&gt;0,(AJ29*(1-$D$10)),(AJ29*(1-$D$11)))+AI30,""))</f>
        <v>107442.08940279193</v>
      </c>
      <c r="AM30">
        <f t="shared" ref="AM30:AV30" si="46">IF(AM$17&gt;ROUND($B$15*$AL$17,0),$D28,$C28)</f>
        <v>0.41600000000000004</v>
      </c>
      <c r="AN30">
        <f t="shared" si="46"/>
        <v>0.41600000000000004</v>
      </c>
      <c r="AO30">
        <f t="shared" si="46"/>
        <v>0.41600000000000004</v>
      </c>
      <c r="AP30">
        <f t="shared" si="46"/>
        <v>-0.13</v>
      </c>
      <c r="AQ30">
        <f t="shared" si="46"/>
        <v>-0.13</v>
      </c>
      <c r="AR30">
        <f t="shared" si="46"/>
        <v>-0.13</v>
      </c>
      <c r="AS30">
        <f t="shared" si="46"/>
        <v>-0.13</v>
      </c>
      <c r="AT30">
        <f t="shared" si="46"/>
        <v>-0.13</v>
      </c>
      <c r="AU30">
        <f t="shared" si="46"/>
        <v>-0.13</v>
      </c>
      <c r="AV30">
        <f t="shared" si="46"/>
        <v>-0.13</v>
      </c>
      <c r="AW30">
        <f t="shared" ca="1" si="21"/>
        <v>16640</v>
      </c>
      <c r="AX30">
        <f t="shared" ca="1" si="22"/>
        <v>23562.240000000002</v>
      </c>
      <c r="AY30">
        <f t="shared" ca="1" si="22"/>
        <v>33364.131840000002</v>
      </c>
      <c r="AZ30">
        <f t="shared" ca="1" si="22"/>
        <v>-14763.628339200002</v>
      </c>
      <c r="BA30">
        <f t="shared" ca="1" si="22"/>
        <v>-12844.356655104</v>
      </c>
      <c r="BB30">
        <f t="shared" ca="1" si="22"/>
        <v>-11174.590289940481</v>
      </c>
      <c r="BC30">
        <f t="shared" ca="1" si="22"/>
        <v>-9721.8935522482188</v>
      </c>
      <c r="BD30">
        <f t="shared" ca="1" si="22"/>
        <v>-8458.0473904559512</v>
      </c>
      <c r="BE30">
        <f t="shared" ca="1" si="22"/>
        <v>-7358.501229696677</v>
      </c>
      <c r="BF30">
        <f t="shared" ca="1" si="22"/>
        <v>-6401.8960698361097</v>
      </c>
      <c r="BG30">
        <f t="shared" ca="1" si="23"/>
        <v>56640</v>
      </c>
      <c r="BH30">
        <f t="shared" ca="1" si="24"/>
        <v>80202.240000000005</v>
      </c>
      <c r="BI30">
        <f t="shared" ca="1" si="24"/>
        <v>113566.37184000001</v>
      </c>
      <c r="BJ30">
        <f t="shared" ca="1" si="24"/>
        <v>98802.743500800003</v>
      </c>
      <c r="BK30">
        <f t="shared" ca="1" si="24"/>
        <v>85958.386845696004</v>
      </c>
      <c r="BL30">
        <f t="shared" ca="1" si="24"/>
        <v>74783.796555755529</v>
      </c>
      <c r="BM30">
        <f t="shared" ca="1" si="24"/>
        <v>65061.903003507308</v>
      </c>
      <c r="BN30">
        <f t="shared" ca="1" si="24"/>
        <v>56603.855613051361</v>
      </c>
      <c r="BO30">
        <f t="shared" ca="1" si="24"/>
        <v>49245.354383354686</v>
      </c>
      <c r="BP30">
        <f t="shared" ca="1" si="24"/>
        <v>42843.458313518575</v>
      </c>
      <c r="BQ30">
        <f t="shared" ca="1" si="25"/>
        <v>0.41599999999999998</v>
      </c>
      <c r="BR30">
        <f t="shared" ca="1" si="26"/>
        <v>1.0050560000000002</v>
      </c>
      <c r="BS30">
        <f t="shared" ca="1" si="27"/>
        <v>1.8391592960000003</v>
      </c>
      <c r="BT30">
        <f t="shared" ca="1" si="28"/>
        <v>1.4700685875200001</v>
      </c>
      <c r="BU30">
        <f t="shared" ca="1" si="29"/>
        <v>1.1489596711424002</v>
      </c>
      <c r="BV30">
        <f t="shared" ca="1" si="30"/>
        <v>0.86959491389388821</v>
      </c>
      <c r="BW30">
        <f t="shared" ca="1" si="31"/>
        <v>0.62654757508768266</v>
      </c>
      <c r="BX30">
        <f t="shared" ca="1" si="32"/>
        <v>0.41509639032628404</v>
      </c>
      <c r="BY30">
        <f t="shared" ca="1" si="33"/>
        <v>0.23113385958386717</v>
      </c>
    </row>
    <row r="31" spans="1:77" x14ac:dyDescent="0.25">
      <c r="A31" s="74"/>
      <c r="B31" s="74"/>
      <c r="C31" s="194">
        <f t="shared" si="0"/>
        <v>0.51200000000000012</v>
      </c>
      <c r="D31" s="196">
        <f t="shared" si="41"/>
        <v>-0.16000000000000003</v>
      </c>
      <c r="E31" s="193">
        <f t="shared" ca="1" si="9"/>
        <v>2.0023966163200565E-2</v>
      </c>
      <c r="F31" s="307"/>
      <c r="G31" s="232">
        <f t="shared" si="1"/>
        <v>15</v>
      </c>
      <c r="H31" s="182">
        <f t="shared" ca="1" si="10"/>
        <v>57507.637768481327</v>
      </c>
      <c r="I31" s="183" t="str">
        <f t="shared" ca="1" si="2"/>
        <v>LOSS</v>
      </c>
      <c r="J31" s="184">
        <f t="shared" ca="1" si="3"/>
        <v>-2156.5364163180498</v>
      </c>
      <c r="K31" s="185">
        <f t="shared" ca="1" si="11"/>
        <v>-3.7499999999999999E-2</v>
      </c>
      <c r="L31" s="182">
        <f t="shared" ca="1" si="4"/>
        <v>55351.101352163278</v>
      </c>
      <c r="M31" s="182">
        <f ca="1">IF($M$14="non-compounding",SUM($J$17:J31)+$C$3,IFERROR(IF(I31="win",(M30*(1-$C$10)),(M30*(1-$C$11)))+L31,""))</f>
        <v>141612.55800488527</v>
      </c>
      <c r="N31" s="186">
        <f t="shared" ca="1" si="5"/>
        <v>0.41612558004885269</v>
      </c>
      <c r="O31" s="74"/>
      <c r="Q31">
        <f t="shared" si="6"/>
        <v>15</v>
      </c>
      <c r="R31">
        <f t="shared" ca="1" si="12"/>
        <v>-3.7499999999999999E-2</v>
      </c>
      <c r="S31">
        <v>15</v>
      </c>
      <c r="T31">
        <f t="shared" ca="1" si="13"/>
        <v>0.15</v>
      </c>
      <c r="U31">
        <f t="shared" ca="1" si="7"/>
        <v>-3.7499999999999999E-2</v>
      </c>
      <c r="V31">
        <f ca="1">COUNTIF($U$17:U30,$C$8)</f>
        <v>6</v>
      </c>
      <c r="W31">
        <f ca="1">COUNTIF($U$17:U30,$C$9)</f>
        <v>8</v>
      </c>
      <c r="Y31">
        <v>14</v>
      </c>
      <c r="Z31">
        <f t="shared" si="14"/>
        <v>-3.7499999999999999E-2</v>
      </c>
      <c r="AB31">
        <f t="shared" si="15"/>
        <v>-0.04</v>
      </c>
      <c r="AC31">
        <f t="shared" ca="1" si="16"/>
        <v>0.15</v>
      </c>
      <c r="AD31">
        <f ca="1">COUNTIF($AC$17:AC30,$D$8)</f>
        <v>4</v>
      </c>
      <c r="AE31">
        <f ca="1">COUNTIF($AC$17:AC30,$D$9)</f>
        <v>10</v>
      </c>
      <c r="AF31">
        <f t="shared" ca="1" si="17"/>
        <v>42976.835761116774</v>
      </c>
      <c r="AG31">
        <f t="shared" ca="1" si="34"/>
        <v>6446.5253641675163</v>
      </c>
      <c r="AH31">
        <f t="shared" ca="1" si="19"/>
        <v>0.15</v>
      </c>
      <c r="AI31">
        <f t="shared" ca="1" si="18"/>
        <v>49423.361125284289</v>
      </c>
      <c r="AJ31" s="60">
        <f ca="1">IF($M$14="non-compounding",SUM($AG$17:AG31)+$C$3,IFERROR(IF(AH31&gt;0,(AJ30*(1-$D$10)),(AJ30*(1-$D$11)))+AI31,""))</f>
        <v>113888.61476695945</v>
      </c>
      <c r="AM31">
        <f t="shared" ref="AM31:AV31" si="47">IF(AM$17&gt;ROUND($B$15*$AL$17,0),$D29,$C29)</f>
        <v>0.44800000000000006</v>
      </c>
      <c r="AN31">
        <f t="shared" si="47"/>
        <v>0.44800000000000006</v>
      </c>
      <c r="AO31">
        <f t="shared" si="47"/>
        <v>0.44800000000000006</v>
      </c>
      <c r="AP31">
        <f t="shared" si="47"/>
        <v>-0.14000000000000001</v>
      </c>
      <c r="AQ31">
        <f t="shared" si="47"/>
        <v>-0.14000000000000001</v>
      </c>
      <c r="AR31">
        <f t="shared" si="47"/>
        <v>-0.14000000000000001</v>
      </c>
      <c r="AS31">
        <f t="shared" si="47"/>
        <v>-0.14000000000000001</v>
      </c>
      <c r="AT31">
        <f t="shared" si="47"/>
        <v>-0.14000000000000001</v>
      </c>
      <c r="AU31">
        <f t="shared" si="47"/>
        <v>-0.14000000000000001</v>
      </c>
      <c r="AV31">
        <f t="shared" si="47"/>
        <v>-0.14000000000000001</v>
      </c>
      <c r="AW31">
        <f t="shared" ca="1" si="21"/>
        <v>17920.000000000004</v>
      </c>
      <c r="AX31">
        <f t="shared" ca="1" si="22"/>
        <v>25948.160000000003</v>
      </c>
      <c r="AY31">
        <f t="shared" ca="1" si="22"/>
        <v>37572.93568000001</v>
      </c>
      <c r="AZ31">
        <f t="shared" ca="1" si="22"/>
        <v>-17001.753395200005</v>
      </c>
      <c r="BA31">
        <f t="shared" ca="1" si="22"/>
        <v>-14621.507919872001</v>
      </c>
      <c r="BB31">
        <f t="shared" ca="1" si="22"/>
        <v>-12574.496811089921</v>
      </c>
      <c r="BC31">
        <f t="shared" ca="1" si="22"/>
        <v>-10814.067257537332</v>
      </c>
      <c r="BD31">
        <f t="shared" ca="1" si="22"/>
        <v>-9300.0978414821057</v>
      </c>
      <c r="BE31">
        <f t="shared" ca="1" si="22"/>
        <v>-7998.0841436746105</v>
      </c>
      <c r="BF31">
        <f t="shared" ca="1" si="22"/>
        <v>-6878.3523635601641</v>
      </c>
      <c r="BG31">
        <f t="shared" ca="1" si="23"/>
        <v>57920</v>
      </c>
      <c r="BH31">
        <f t="shared" ca="1" si="24"/>
        <v>83868.160000000003</v>
      </c>
      <c r="BI31">
        <f t="shared" ca="1" si="24"/>
        <v>121441.09568000001</v>
      </c>
      <c r="BJ31">
        <f t="shared" ca="1" si="24"/>
        <v>104439.3422848</v>
      </c>
      <c r="BK31">
        <f t="shared" ca="1" si="24"/>
        <v>89817.834364928</v>
      </c>
      <c r="BL31">
        <f t="shared" ca="1" si="24"/>
        <v>77243.337553838079</v>
      </c>
      <c r="BM31">
        <f t="shared" ca="1" si="24"/>
        <v>66429.270296300747</v>
      </c>
      <c r="BN31">
        <f t="shared" ca="1" si="24"/>
        <v>57129.172454818639</v>
      </c>
      <c r="BO31">
        <f t="shared" ca="1" si="24"/>
        <v>49131.088311144027</v>
      </c>
      <c r="BP31">
        <f t="shared" ca="1" si="24"/>
        <v>42252.73594758386</v>
      </c>
      <c r="BQ31">
        <f t="shared" ca="1" si="25"/>
        <v>0.44800000000000001</v>
      </c>
      <c r="BR31">
        <f t="shared" ca="1" si="26"/>
        <v>1.0967040000000001</v>
      </c>
      <c r="BS31">
        <f t="shared" ca="1" si="27"/>
        <v>2.0360273920000003</v>
      </c>
      <c r="BT31">
        <f t="shared" ca="1" si="28"/>
        <v>1.6109835571200002</v>
      </c>
      <c r="BU31">
        <f t="shared" ca="1" si="29"/>
        <v>1.2454458591232</v>
      </c>
      <c r="BV31">
        <f t="shared" ca="1" si="30"/>
        <v>0.93108343884595202</v>
      </c>
      <c r="BW31">
        <f t="shared" ca="1" si="31"/>
        <v>0.66073175740751866</v>
      </c>
      <c r="BX31">
        <f t="shared" ca="1" si="32"/>
        <v>0.42822931137046599</v>
      </c>
      <c r="BY31">
        <f t="shared" ca="1" si="33"/>
        <v>0.22827720777860067</v>
      </c>
    </row>
    <row r="32" spans="1:77" x14ac:dyDescent="0.25">
      <c r="A32" s="74"/>
      <c r="B32" s="74"/>
      <c r="C32" s="194">
        <f t="shared" si="0"/>
        <v>0.54400000000000015</v>
      </c>
      <c r="D32" s="196">
        <f t="shared" si="41"/>
        <v>-0.17000000000000004</v>
      </c>
      <c r="E32" s="193">
        <f t="shared" ca="1" si="9"/>
        <v>-1.176999325005272E-3</v>
      </c>
      <c r="F32" s="307"/>
      <c r="G32" s="232">
        <f t="shared" si="1"/>
        <v>16</v>
      </c>
      <c r="H32" s="182">
        <f t="shared" ca="1" si="10"/>
        <v>56645.023201954114</v>
      </c>
      <c r="I32" s="183" t="str">
        <f t="shared" ca="1" si="2"/>
        <v>LOSS</v>
      </c>
      <c r="J32" s="184">
        <f t="shared" ca="1" si="3"/>
        <v>-2124.1883700732792</v>
      </c>
      <c r="K32" s="185">
        <f t="shared" ca="1" si="11"/>
        <v>-3.7499999999999999E-2</v>
      </c>
      <c r="L32" s="182">
        <f t="shared" ca="1" si="4"/>
        <v>54520.834831880835</v>
      </c>
      <c r="M32" s="182">
        <f ca="1">IF($M$14="non-compounding",SUM($J$17:J32)+$C$3,IFERROR(IF(I32="win",(M31*(1-$C$10)),(M31*(1-$C$11)))+L32,""))</f>
        <v>139488.369634812</v>
      </c>
      <c r="N32" s="186">
        <f t="shared" ca="1" si="5"/>
        <v>0.39488369634811998</v>
      </c>
      <c r="O32" s="74"/>
      <c r="Q32">
        <f t="shared" si="6"/>
        <v>16</v>
      </c>
      <c r="R32">
        <f t="shared" ca="1" si="12"/>
        <v>-3.7499999999999999E-2</v>
      </c>
      <c r="S32">
        <v>16</v>
      </c>
      <c r="T32">
        <f t="shared" ca="1" si="13"/>
        <v>-0.04</v>
      </c>
      <c r="U32">
        <f t="shared" ca="1" si="7"/>
        <v>-3.7499999999999999E-2</v>
      </c>
      <c r="V32">
        <f ca="1">COUNTIF($U$17:U31,$C$8)</f>
        <v>6</v>
      </c>
      <c r="W32">
        <f ca="1">COUNTIF($U$17:U31,$C$9)</f>
        <v>9</v>
      </c>
      <c r="Y32">
        <v>15</v>
      </c>
      <c r="Z32">
        <f t="shared" si="14"/>
        <v>-3.7499999999999999E-2</v>
      </c>
      <c r="AB32">
        <f t="shared" si="15"/>
        <v>-0.04</v>
      </c>
      <c r="AC32">
        <f t="shared" ca="1" si="16"/>
        <v>-0.04</v>
      </c>
      <c r="AD32">
        <f ca="1">COUNTIF($AC$17:AC31,$D$8)</f>
        <v>5</v>
      </c>
      <c r="AE32">
        <f ca="1">COUNTIF($AC$17:AC31,$D$9)</f>
        <v>10</v>
      </c>
      <c r="AF32">
        <f t="shared" ca="1" si="17"/>
        <v>45555.445906783782</v>
      </c>
      <c r="AG32">
        <f t="shared" ca="1" si="34"/>
        <v>-1822.2178362713512</v>
      </c>
      <c r="AH32">
        <f t="shared" ca="1" si="19"/>
        <v>-0.04</v>
      </c>
      <c r="AI32">
        <f t="shared" ca="1" si="18"/>
        <v>43733.228070512429</v>
      </c>
      <c r="AJ32" s="60">
        <f ca="1">IF($M$14="non-compounding",SUM($AG$17:AG32)+$C$3,IFERROR(IF(AH32&gt;0,(AJ31*(1-$D$10)),(AJ31*(1-$D$11)))+AI32,""))</f>
        <v>112066.39693068809</v>
      </c>
      <c r="AM32">
        <f t="shared" ref="AM32:AV32" si="48">IF(AM$17&gt;ROUND($B$15*$AL$17,0),$D30,$C30)</f>
        <v>0.48000000000000009</v>
      </c>
      <c r="AN32">
        <f t="shared" si="48"/>
        <v>0.48000000000000009</v>
      </c>
      <c r="AO32">
        <f t="shared" si="48"/>
        <v>0.48000000000000009</v>
      </c>
      <c r="AP32">
        <f t="shared" si="48"/>
        <v>-0.15000000000000002</v>
      </c>
      <c r="AQ32">
        <f t="shared" si="48"/>
        <v>-0.15000000000000002</v>
      </c>
      <c r="AR32">
        <f t="shared" si="48"/>
        <v>-0.15000000000000002</v>
      </c>
      <c r="AS32">
        <f t="shared" si="48"/>
        <v>-0.15000000000000002</v>
      </c>
      <c r="AT32">
        <f t="shared" si="48"/>
        <v>-0.15000000000000002</v>
      </c>
      <c r="AU32">
        <f t="shared" si="48"/>
        <v>-0.15000000000000002</v>
      </c>
      <c r="AV32">
        <f t="shared" si="48"/>
        <v>-0.15000000000000002</v>
      </c>
      <c r="AW32">
        <f t="shared" ca="1" si="21"/>
        <v>19200.000000000004</v>
      </c>
      <c r="AX32">
        <f t="shared" ca="1" si="22"/>
        <v>28416.000000000007</v>
      </c>
      <c r="AY32">
        <f t="shared" ca="1" si="22"/>
        <v>42055.680000000008</v>
      </c>
      <c r="AZ32">
        <f t="shared" ca="1" si="22"/>
        <v>-19450.752000000004</v>
      </c>
      <c r="BA32">
        <f t="shared" ca="1" si="22"/>
        <v>-16533.139200000001</v>
      </c>
      <c r="BB32">
        <f t="shared" ca="1" si="22"/>
        <v>-14053.168320000001</v>
      </c>
      <c r="BC32">
        <f t="shared" ca="1" si="22"/>
        <v>-11945.193072000002</v>
      </c>
      <c r="BD32">
        <f t="shared" ca="1" si="22"/>
        <v>-10153.4141112</v>
      </c>
      <c r="BE32">
        <f t="shared" ca="1" si="22"/>
        <v>-8630.4019945199998</v>
      </c>
      <c r="BF32">
        <f t="shared" ca="1" si="22"/>
        <v>-7335.8416953420001</v>
      </c>
      <c r="BG32">
        <f t="shared" ca="1" si="23"/>
        <v>59200</v>
      </c>
      <c r="BH32">
        <f t="shared" ca="1" si="24"/>
        <v>87616</v>
      </c>
      <c r="BI32">
        <f t="shared" ca="1" si="24"/>
        <v>129671.68000000001</v>
      </c>
      <c r="BJ32">
        <f t="shared" ca="1" si="24"/>
        <v>110220.928</v>
      </c>
      <c r="BK32">
        <f t="shared" ca="1" si="24"/>
        <v>93687.788799999995</v>
      </c>
      <c r="BL32">
        <f t="shared" ca="1" si="24"/>
        <v>79634.620479999998</v>
      </c>
      <c r="BM32">
        <f t="shared" ca="1" si="24"/>
        <v>67689.427407999989</v>
      </c>
      <c r="BN32">
        <f t="shared" ca="1" si="24"/>
        <v>57536.013296799989</v>
      </c>
      <c r="BO32">
        <f t="shared" ca="1" si="24"/>
        <v>48905.611302279991</v>
      </c>
      <c r="BP32">
        <f t="shared" ca="1" si="24"/>
        <v>41569.769606937989</v>
      </c>
      <c r="BQ32">
        <f t="shared" ca="1" si="25"/>
        <v>0.48</v>
      </c>
      <c r="BR32">
        <f t="shared" ca="1" si="26"/>
        <v>1.1903999999999999</v>
      </c>
      <c r="BS32">
        <f t="shared" ca="1" si="27"/>
        <v>2.2417920000000002</v>
      </c>
      <c r="BT32">
        <f t="shared" ca="1" si="28"/>
        <v>1.7555232000000001</v>
      </c>
      <c r="BU32">
        <f t="shared" ca="1" si="29"/>
        <v>1.34219472</v>
      </c>
      <c r="BV32">
        <f t="shared" ca="1" si="30"/>
        <v>0.99086551199999995</v>
      </c>
      <c r="BW32">
        <f t="shared" ca="1" si="31"/>
        <v>0.69223568519999967</v>
      </c>
      <c r="BX32">
        <f t="shared" ca="1" si="32"/>
        <v>0.43840033241999971</v>
      </c>
      <c r="BY32">
        <f t="shared" ca="1" si="33"/>
        <v>0.22264028255699977</v>
      </c>
    </row>
    <row r="33" spans="1:77" x14ac:dyDescent="0.25">
      <c r="A33" s="74"/>
      <c r="B33" s="74"/>
      <c r="C33" s="194">
        <f t="shared" si="0"/>
        <v>0.57600000000000018</v>
      </c>
      <c r="D33" s="196">
        <f t="shared" si="41"/>
        <v>-0.18000000000000005</v>
      </c>
      <c r="E33" s="193">
        <f t="shared" ca="1" si="9"/>
        <v>-2.4189232143137271E-2</v>
      </c>
      <c r="F33" s="307"/>
      <c r="G33" s="232">
        <f t="shared" si="1"/>
        <v>17</v>
      </c>
      <c r="H33" s="182">
        <f t="shared" ca="1" si="10"/>
        <v>97641.858744368394</v>
      </c>
      <c r="I33" s="183" t="str">
        <f t="shared" ca="1" si="2"/>
        <v>WIN</v>
      </c>
      <c r="J33" s="184">
        <f t="shared" ca="1" si="3"/>
        <v>11717.023049324207</v>
      </c>
      <c r="K33" s="185">
        <f t="shared" ca="1" si="11"/>
        <v>0.12</v>
      </c>
      <c r="L33" s="182">
        <f t="shared" ca="1" si="4"/>
        <v>109358.88179369261</v>
      </c>
      <c r="M33" s="182">
        <f ca="1">IF($M$14="non-compounding",SUM($J$17:J33)+$C$3,IFERROR(IF(I33="win",(M32*(1-$C$10)),(M32*(1-$C$11)))+L33,""))</f>
        <v>151205.39268413623</v>
      </c>
      <c r="N33" s="186">
        <f t="shared" ca="1" si="5"/>
        <v>0.51205392684136231</v>
      </c>
      <c r="O33" s="74"/>
      <c r="Q33">
        <f t="shared" si="6"/>
        <v>17</v>
      </c>
      <c r="R33">
        <f t="shared" ca="1" si="12"/>
        <v>0.12</v>
      </c>
      <c r="S33">
        <v>17</v>
      </c>
      <c r="T33">
        <f t="shared" ca="1" si="13"/>
        <v>0.15</v>
      </c>
      <c r="U33">
        <f t="shared" ca="1" si="7"/>
        <v>0.12</v>
      </c>
      <c r="V33">
        <f ca="1">COUNTIF($U$17:U32,$C$8)</f>
        <v>6</v>
      </c>
      <c r="W33">
        <f ca="1">COUNTIF($U$17:U32,$C$9)</f>
        <v>10</v>
      </c>
      <c r="Y33">
        <v>16</v>
      </c>
      <c r="Z33">
        <f t="shared" si="14"/>
        <v>-3.7499999999999999E-2</v>
      </c>
      <c r="AB33">
        <f t="shared" si="15"/>
        <v>-0.04</v>
      </c>
      <c r="AC33">
        <f t="shared" ca="1" si="16"/>
        <v>0.15</v>
      </c>
      <c r="AD33">
        <f ca="1">COUNTIF($AC$17:AC32,$D$8)</f>
        <v>5</v>
      </c>
      <c r="AE33">
        <f ca="1">COUNTIF($AC$17:AC32,$D$9)</f>
        <v>11</v>
      </c>
      <c r="AF33">
        <f t="shared" ca="1" si="17"/>
        <v>44826.558772275239</v>
      </c>
      <c r="AG33">
        <f t="shared" ca="1" si="34"/>
        <v>6723.9838158412858</v>
      </c>
      <c r="AH33">
        <f t="shared" ca="1" si="19"/>
        <v>0.15</v>
      </c>
      <c r="AI33">
        <f t="shared" ca="1" si="18"/>
        <v>51550.542588116528</v>
      </c>
      <c r="AJ33" s="60">
        <f ca="1">IF($M$14="non-compounding",SUM($AG$17:AG33)+$C$3,IFERROR(IF(AH33&gt;0,(AJ32*(1-$D$10)),(AJ32*(1-$D$11)))+AI33,""))</f>
        <v>118790.38074652938</v>
      </c>
      <c r="AM33">
        <f t="shared" ref="AM33:AV33" si="49">IF(AM$17&gt;ROUND($B$15*$AL$17,0),$D31,$C31)</f>
        <v>0.51200000000000012</v>
      </c>
      <c r="AN33">
        <f t="shared" si="49"/>
        <v>0.51200000000000012</v>
      </c>
      <c r="AO33">
        <f t="shared" si="49"/>
        <v>0.51200000000000012</v>
      </c>
      <c r="AP33">
        <f t="shared" si="49"/>
        <v>-0.16000000000000003</v>
      </c>
      <c r="AQ33">
        <f t="shared" si="49"/>
        <v>-0.16000000000000003</v>
      </c>
      <c r="AR33">
        <f t="shared" si="49"/>
        <v>-0.16000000000000003</v>
      </c>
      <c r="AS33">
        <f t="shared" si="49"/>
        <v>-0.16000000000000003</v>
      </c>
      <c r="AT33">
        <f t="shared" si="49"/>
        <v>-0.16000000000000003</v>
      </c>
      <c r="AU33">
        <f t="shared" si="49"/>
        <v>-0.16000000000000003</v>
      </c>
      <c r="AV33">
        <f t="shared" si="49"/>
        <v>-0.16000000000000003</v>
      </c>
      <c r="AW33">
        <f t="shared" ca="1" si="21"/>
        <v>20480.000000000004</v>
      </c>
      <c r="AX33">
        <f t="shared" ca="1" si="22"/>
        <v>30965.760000000006</v>
      </c>
      <c r="AY33">
        <f t="shared" ca="1" si="22"/>
        <v>46820.229120000018</v>
      </c>
      <c r="AZ33">
        <f t="shared" ca="1" si="22"/>
        <v>-22122.55825920001</v>
      </c>
      <c r="BA33">
        <f t="shared" ca="1" si="22"/>
        <v>-18582.948937728008</v>
      </c>
      <c r="BB33">
        <f t="shared" ca="1" si="22"/>
        <v>-15609.677107691527</v>
      </c>
      <c r="BC33">
        <f t="shared" ca="1" si="22"/>
        <v>-13112.12877046088</v>
      </c>
      <c r="BD33">
        <f t="shared" ca="1" si="22"/>
        <v>-11014.188167187138</v>
      </c>
      <c r="BE33">
        <f t="shared" ca="1" si="22"/>
        <v>-9251.9180604371959</v>
      </c>
      <c r="BF33">
        <f t="shared" ca="1" si="22"/>
        <v>-7771.6111707672444</v>
      </c>
      <c r="BG33">
        <f t="shared" ca="1" si="23"/>
        <v>60480</v>
      </c>
      <c r="BH33">
        <f t="shared" ca="1" si="24"/>
        <v>91445.760000000009</v>
      </c>
      <c r="BI33">
        <f t="shared" ca="1" si="24"/>
        <v>138265.98912000004</v>
      </c>
      <c r="BJ33">
        <f t="shared" ca="1" si="24"/>
        <v>116143.43086080003</v>
      </c>
      <c r="BK33">
        <f t="shared" ca="1" si="24"/>
        <v>97560.481923072017</v>
      </c>
      <c r="BL33">
        <f t="shared" ca="1" si="24"/>
        <v>81950.804815380485</v>
      </c>
      <c r="BM33">
        <f t="shared" ca="1" si="24"/>
        <v>68838.676044919601</v>
      </c>
      <c r="BN33">
        <f t="shared" ca="1" si="24"/>
        <v>57824.487877732463</v>
      </c>
      <c r="BO33">
        <f t="shared" ca="1" si="24"/>
        <v>48572.569817295269</v>
      </c>
      <c r="BP33">
        <f t="shared" ca="1" si="24"/>
        <v>40800.958646528023</v>
      </c>
      <c r="BQ33">
        <f t="shared" ca="1" si="25"/>
        <v>0.51200000000000001</v>
      </c>
      <c r="BR33">
        <f t="shared" ca="1" si="26"/>
        <v>1.2861440000000002</v>
      </c>
      <c r="BS33">
        <f t="shared" ca="1" si="27"/>
        <v>2.4566497280000013</v>
      </c>
      <c r="BT33">
        <f t="shared" ca="1" si="28"/>
        <v>1.9035857715200006</v>
      </c>
      <c r="BU33">
        <f t="shared" ca="1" si="29"/>
        <v>1.4390120480768005</v>
      </c>
      <c r="BV33">
        <f t="shared" ca="1" si="30"/>
        <v>1.0487701203845121</v>
      </c>
      <c r="BW33">
        <f t="shared" ca="1" si="31"/>
        <v>0.72096690112299</v>
      </c>
      <c r="BX33">
        <f t="shared" ca="1" si="32"/>
        <v>0.44561219694331156</v>
      </c>
      <c r="BY33">
        <f t="shared" ca="1" si="33"/>
        <v>0.21431424543238173</v>
      </c>
    </row>
    <row r="34" spans="1:77" x14ac:dyDescent="0.25">
      <c r="A34" s="74"/>
      <c r="B34" s="74"/>
      <c r="C34" s="194">
        <f t="shared" si="0"/>
        <v>0.60800000000000021</v>
      </c>
      <c r="D34" s="196">
        <f t="shared" si="41"/>
        <v>-0.19000000000000006</v>
      </c>
      <c r="E34" s="193">
        <f t="shared" ca="1" si="9"/>
        <v>-4.884068512487047E-2</v>
      </c>
      <c r="F34" s="307"/>
      <c r="G34" s="232">
        <f t="shared" si="1"/>
        <v>18</v>
      </c>
      <c r="H34" s="182">
        <f t="shared" ca="1" si="10"/>
        <v>60482.157073654496</v>
      </c>
      <c r="I34" s="183" t="str">
        <f t="shared" ca="1" si="2"/>
        <v>LOSS</v>
      </c>
      <c r="J34" s="184">
        <f t="shared" ca="1" si="3"/>
        <v>-2268.0808902620433</v>
      </c>
      <c r="K34" s="185">
        <f t="shared" ca="1" si="11"/>
        <v>-3.7499999999999999E-2</v>
      </c>
      <c r="L34" s="182">
        <f t="shared" ca="1" si="4"/>
        <v>58214.076183392455</v>
      </c>
      <c r="M34" s="182">
        <f ca="1">IF($M$14="non-compounding",SUM($J$17:J34)+$C$3,IFERROR(IF(I34="win",(M33*(1-$C$10)),(M33*(1-$C$11)))+L34,""))</f>
        <v>148937.31179387419</v>
      </c>
      <c r="N34" s="186">
        <f t="shared" ca="1" si="5"/>
        <v>0.48937311793874194</v>
      </c>
      <c r="O34" s="74"/>
      <c r="Q34">
        <f t="shared" si="6"/>
        <v>18</v>
      </c>
      <c r="R34">
        <f t="shared" ca="1" si="12"/>
        <v>-3.7499999999999999E-2</v>
      </c>
      <c r="S34">
        <v>18</v>
      </c>
      <c r="T34">
        <f t="shared" ca="1" si="13"/>
        <v>-0.04</v>
      </c>
      <c r="U34">
        <f t="shared" ca="1" si="7"/>
        <v>-3.7499999999999999E-2</v>
      </c>
      <c r="V34">
        <f ca="1">COUNTIF($U$17:U33,$C$8)</f>
        <v>7</v>
      </c>
      <c r="W34">
        <f ca="1">COUNTIF($U$17:U33,$C$9)</f>
        <v>10</v>
      </c>
      <c r="Y34">
        <v>17</v>
      </c>
      <c r="Z34">
        <f t="shared" si="14"/>
        <v>-3.7499999999999999E-2</v>
      </c>
      <c r="AB34">
        <f t="shared" si="15"/>
        <v>-0.04</v>
      </c>
      <c r="AC34">
        <f t="shared" ca="1" si="16"/>
        <v>-0.04</v>
      </c>
      <c r="AD34">
        <f ca="1">COUNTIF($AC$17:AC33,$D$8)</f>
        <v>6</v>
      </c>
      <c r="AE34">
        <f ca="1">COUNTIF($AC$17:AC33,$D$9)</f>
        <v>11</v>
      </c>
      <c r="AF34">
        <f t="shared" ca="1" si="17"/>
        <v>47516.152298611756</v>
      </c>
      <c r="AG34">
        <f t="shared" ca="1" si="34"/>
        <v>-1900.6460919444703</v>
      </c>
      <c r="AH34">
        <f t="shared" ca="1" si="19"/>
        <v>-0.04</v>
      </c>
      <c r="AI34">
        <f t="shared" ca="1" si="18"/>
        <v>45615.506206667284</v>
      </c>
      <c r="AJ34" s="60">
        <f ca="1">IF($M$14="non-compounding",SUM($AG$17:AG34)+$C$3,IFERROR(IF(AH34&gt;0,(AJ33*(1-$D$10)),(AJ33*(1-$D$11)))+AI34,""))</f>
        <v>116889.73465458491</v>
      </c>
      <c r="AM34">
        <f t="shared" ref="AM34:AV34" si="50">IF(AM$17&gt;ROUND($B$15*$AL$17,0),$D32,$C32)</f>
        <v>0.54400000000000015</v>
      </c>
      <c r="AN34">
        <f t="shared" si="50"/>
        <v>0.54400000000000015</v>
      </c>
      <c r="AO34">
        <f t="shared" si="50"/>
        <v>0.54400000000000015</v>
      </c>
      <c r="AP34">
        <f t="shared" si="50"/>
        <v>-0.17000000000000004</v>
      </c>
      <c r="AQ34">
        <f t="shared" si="50"/>
        <v>-0.17000000000000004</v>
      </c>
      <c r="AR34">
        <f t="shared" si="50"/>
        <v>-0.17000000000000004</v>
      </c>
      <c r="AS34">
        <f t="shared" si="50"/>
        <v>-0.17000000000000004</v>
      </c>
      <c r="AT34">
        <f t="shared" si="50"/>
        <v>-0.17000000000000004</v>
      </c>
      <c r="AU34">
        <f t="shared" si="50"/>
        <v>-0.17000000000000004</v>
      </c>
      <c r="AV34">
        <f t="shared" si="50"/>
        <v>-0.17000000000000004</v>
      </c>
      <c r="AW34">
        <f t="shared" ca="1" si="21"/>
        <v>21760.000000000007</v>
      </c>
      <c r="AX34">
        <f t="shared" ca="1" si="22"/>
        <v>33597.44000000001</v>
      </c>
      <c r="AY34">
        <f t="shared" ca="1" si="22"/>
        <v>51874.44736000002</v>
      </c>
      <c r="AZ34">
        <f t="shared" ca="1" si="22"/>
        <v>-25029.420851200015</v>
      </c>
      <c r="BA34">
        <f t="shared" ca="1" si="22"/>
        <v>-20774.419306496009</v>
      </c>
      <c r="BB34">
        <f t="shared" ca="1" si="22"/>
        <v>-17242.768024391688</v>
      </c>
      <c r="BC34">
        <f t="shared" ca="1" si="22"/>
        <v>-14311.4974602451</v>
      </c>
      <c r="BD34">
        <f t="shared" ca="1" si="22"/>
        <v>-11878.542892003434</v>
      </c>
      <c r="BE34">
        <f t="shared" ca="1" si="22"/>
        <v>-9859.1906003628501</v>
      </c>
      <c r="BF34">
        <f t="shared" ca="1" si="22"/>
        <v>-8183.128198301164</v>
      </c>
      <c r="BG34">
        <f t="shared" ca="1" si="23"/>
        <v>61760.000000000007</v>
      </c>
      <c r="BH34">
        <f t="shared" ca="1" si="24"/>
        <v>95357.440000000017</v>
      </c>
      <c r="BI34">
        <f t="shared" ca="1" si="24"/>
        <v>147231.88736000005</v>
      </c>
      <c r="BJ34">
        <f t="shared" ca="1" si="24"/>
        <v>122202.46650880003</v>
      </c>
      <c r="BK34">
        <f t="shared" ca="1" si="24"/>
        <v>101428.04720230402</v>
      </c>
      <c r="BL34">
        <f t="shared" ca="1" si="24"/>
        <v>84185.279177912336</v>
      </c>
      <c r="BM34">
        <f t="shared" ca="1" si="24"/>
        <v>69873.78171766724</v>
      </c>
      <c r="BN34">
        <f t="shared" ca="1" si="24"/>
        <v>57995.238825663808</v>
      </c>
      <c r="BO34">
        <f t="shared" ca="1" si="24"/>
        <v>48136.048225300954</v>
      </c>
      <c r="BP34">
        <f t="shared" ca="1" si="24"/>
        <v>39952.920026999789</v>
      </c>
      <c r="BQ34">
        <f t="shared" ca="1" si="25"/>
        <v>0.54400000000000015</v>
      </c>
      <c r="BR34">
        <f t="shared" ca="1" si="26"/>
        <v>1.3839360000000005</v>
      </c>
      <c r="BS34">
        <f t="shared" ca="1" si="27"/>
        <v>2.6807971840000011</v>
      </c>
      <c r="BT34">
        <f t="shared" ca="1" si="28"/>
        <v>2.0550616627200009</v>
      </c>
      <c r="BU34">
        <f t="shared" ca="1" si="29"/>
        <v>1.5357011800576006</v>
      </c>
      <c r="BV34">
        <f t="shared" ca="1" si="30"/>
        <v>1.1046319794478083</v>
      </c>
      <c r="BW34">
        <f t="shared" ca="1" si="31"/>
        <v>0.74684454294168101</v>
      </c>
      <c r="BX34">
        <f t="shared" ca="1" si="32"/>
        <v>0.44988097064159521</v>
      </c>
      <c r="BY34">
        <f t="shared" ca="1" si="33"/>
        <v>0.20340120563252384</v>
      </c>
    </row>
    <row r="35" spans="1:77" x14ac:dyDescent="0.25">
      <c r="A35" s="74"/>
      <c r="B35" s="74"/>
      <c r="C35" s="194">
        <f t="shared" si="0"/>
        <v>0.64000000000000024</v>
      </c>
      <c r="D35" s="196">
        <f t="shared" si="41"/>
        <v>-0.20000000000000007</v>
      </c>
      <c r="E35" s="193">
        <f t="shared" ca="1" si="9"/>
        <v>-7.4957996851199998E-2</v>
      </c>
      <c r="F35" s="307"/>
      <c r="G35" s="232">
        <f t="shared" si="1"/>
        <v>19</v>
      </c>
      <c r="H35" s="182">
        <f t="shared" ca="1" si="10"/>
        <v>59574.924717549678</v>
      </c>
      <c r="I35" s="183" t="str">
        <f t="shared" ca="1" si="2"/>
        <v>LOSS</v>
      </c>
      <c r="J35" s="184">
        <f t="shared" ca="1" si="3"/>
        <v>-2234.059676908113</v>
      </c>
      <c r="K35" s="185">
        <f t="shared" ca="1" si="11"/>
        <v>-3.7499999999999999E-2</v>
      </c>
      <c r="L35" s="182">
        <f t="shared" ca="1" si="4"/>
        <v>57340.865040641569</v>
      </c>
      <c r="M35" s="182">
        <f ca="1">IF($M$14="non-compounding",SUM($J$17:J35)+$C$3,IFERROR(IF(I35="win",(M34*(1-$C$10)),(M34*(1-$C$11)))+L35,""))</f>
        <v>146703.25211696606</v>
      </c>
      <c r="N35" s="186">
        <f t="shared" ca="1" si="5"/>
        <v>0.4670325211696606</v>
      </c>
      <c r="O35" s="74"/>
      <c r="Q35">
        <f t="shared" si="6"/>
        <v>19</v>
      </c>
      <c r="R35">
        <f t="shared" ca="1" si="12"/>
        <v>-3.7499999999999999E-2</v>
      </c>
      <c r="S35">
        <v>19</v>
      </c>
      <c r="T35">
        <f t="shared" ca="1" si="13"/>
        <v>-0.04</v>
      </c>
      <c r="U35">
        <f t="shared" ca="1" si="7"/>
        <v>-3.7499999999999999E-2</v>
      </c>
      <c r="V35">
        <f ca="1">COUNTIF($U$17:U34,$C$8)</f>
        <v>7</v>
      </c>
      <c r="W35">
        <f ca="1">COUNTIF($U$17:U34,$C$9)</f>
        <v>11</v>
      </c>
      <c r="Y35">
        <v>18</v>
      </c>
      <c r="Z35">
        <f t="shared" si="14"/>
        <v>-3.7499999999999999E-2</v>
      </c>
      <c r="AB35">
        <f t="shared" si="15"/>
        <v>-0.04</v>
      </c>
      <c r="AC35">
        <f t="shared" ca="1" si="16"/>
        <v>-0.04</v>
      </c>
      <c r="AD35">
        <f ca="1">COUNTIF($AC$17:AC34,$D$8)</f>
        <v>6</v>
      </c>
      <c r="AE35">
        <f ca="1">COUNTIF($AC$17:AC34,$D$9)</f>
        <v>12</v>
      </c>
      <c r="AF35">
        <f t="shared" ca="1" si="17"/>
        <v>46755.893861833967</v>
      </c>
      <c r="AG35">
        <f t="shared" ca="1" si="34"/>
        <v>-1870.2357544733586</v>
      </c>
      <c r="AH35">
        <f t="shared" ca="1" si="19"/>
        <v>-0.04</v>
      </c>
      <c r="AI35">
        <f t="shared" ca="1" si="18"/>
        <v>44885.658107360607</v>
      </c>
      <c r="AJ35" s="60">
        <f ca="1">IF($M$14="non-compounding",SUM($AG$17:AG35)+$C$3,IFERROR(IF(AH35&gt;0,(AJ34*(1-$D$10)),(AJ34*(1-$D$11)))+AI35,""))</f>
        <v>115019.49890011155</v>
      </c>
      <c r="AM35">
        <f t="shared" ref="AM35:AV35" si="51">IF(AM$17&gt;ROUND($B$15*$AL$17,0),$D33,$C33)</f>
        <v>0.57600000000000018</v>
      </c>
      <c r="AN35">
        <f t="shared" si="51"/>
        <v>0.57600000000000018</v>
      </c>
      <c r="AO35">
        <f t="shared" si="51"/>
        <v>0.57600000000000018</v>
      </c>
      <c r="AP35">
        <f t="shared" si="51"/>
        <v>-0.18000000000000005</v>
      </c>
      <c r="AQ35">
        <f t="shared" si="51"/>
        <v>-0.18000000000000005</v>
      </c>
      <c r="AR35">
        <f t="shared" si="51"/>
        <v>-0.18000000000000005</v>
      </c>
      <c r="AS35">
        <f t="shared" si="51"/>
        <v>-0.18000000000000005</v>
      </c>
      <c r="AT35">
        <f t="shared" si="51"/>
        <v>-0.18000000000000005</v>
      </c>
      <c r="AU35">
        <f t="shared" si="51"/>
        <v>-0.18000000000000005</v>
      </c>
      <c r="AV35">
        <f t="shared" si="51"/>
        <v>-0.18000000000000005</v>
      </c>
      <c r="AW35">
        <f t="shared" ca="1" si="21"/>
        <v>23040.000000000007</v>
      </c>
      <c r="AX35">
        <f t="shared" ref="AX35:AX47" ca="1" si="52">AN35*BG35</f>
        <v>36311.040000000015</v>
      </c>
      <c r="AY35">
        <f t="shared" ref="AY35:AY47" ca="1" si="53">AO35*BH35</f>
        <v>57226.199040000029</v>
      </c>
      <c r="AZ35">
        <f t="shared" ref="AZ35:AZ47" ca="1" si="54">AP35*BI35</f>
        <v>-28183.903027200016</v>
      </c>
      <c r="BA35">
        <f t="shared" ref="BA35:BA47" ca="1" si="55">AQ35*BJ35</f>
        <v>-23110.80048230401</v>
      </c>
      <c r="BB35">
        <f t="shared" ref="BB35:BB47" ca="1" si="56">AR35*BK35</f>
        <v>-18950.856395489285</v>
      </c>
      <c r="BC35">
        <f t="shared" ref="BC35:BC47" ca="1" si="57">AS35*BL35</f>
        <v>-15539.702244301214</v>
      </c>
      <c r="BD35">
        <f t="shared" ref="BD35:BD47" ca="1" si="58">AT35*BM35</f>
        <v>-12742.555840326995</v>
      </c>
      <c r="BE35">
        <f t="shared" ref="BE35:BE47" ca="1" si="59">AU35*BN35</f>
        <v>-10448.895789068136</v>
      </c>
      <c r="BF35">
        <f t="shared" ref="BF35:BF47" ca="1" si="60">AV35*BO35</f>
        <v>-8568.0945470358711</v>
      </c>
      <c r="BG35">
        <f t="shared" ca="1" si="23"/>
        <v>63040.000000000007</v>
      </c>
      <c r="BH35">
        <f t="shared" ref="BH35:BP47" ca="1" si="61">AX35+BG35</f>
        <v>99351.040000000023</v>
      </c>
      <c r="BI35">
        <f t="shared" ca="1" si="61"/>
        <v>156577.23904000004</v>
      </c>
      <c r="BJ35">
        <f t="shared" ca="1" si="61"/>
        <v>128393.33601280002</v>
      </c>
      <c r="BK35">
        <f t="shared" ca="1" si="61"/>
        <v>105282.53553049601</v>
      </c>
      <c r="BL35">
        <f t="shared" ca="1" si="61"/>
        <v>86331.679135006721</v>
      </c>
      <c r="BM35">
        <f t="shared" ca="1" si="61"/>
        <v>70791.976890705511</v>
      </c>
      <c r="BN35">
        <f t="shared" ca="1" si="61"/>
        <v>58049.421050378514</v>
      </c>
      <c r="BO35">
        <f t="shared" ca="1" si="61"/>
        <v>47600.52526131038</v>
      </c>
      <c r="BP35">
        <f t="shared" ca="1" si="61"/>
        <v>39032.430714274509</v>
      </c>
      <c r="BQ35">
        <f t="shared" ca="1" si="25"/>
        <v>0.57600000000000018</v>
      </c>
      <c r="BR35">
        <f t="shared" ca="1" si="26"/>
        <v>1.4837760000000006</v>
      </c>
      <c r="BS35">
        <f t="shared" ca="1" si="27"/>
        <v>2.9144309760000011</v>
      </c>
      <c r="BT35">
        <f t="shared" ca="1" si="28"/>
        <v>2.2098334003200004</v>
      </c>
      <c r="BU35">
        <f t="shared" ca="1" si="29"/>
        <v>1.6320633882624003</v>
      </c>
      <c r="BV35">
        <f t="shared" ca="1" si="30"/>
        <v>1.158291978375168</v>
      </c>
      <c r="BW35">
        <f t="shared" ca="1" si="31"/>
        <v>0.76979942226763776</v>
      </c>
      <c r="BX35">
        <f t="shared" ca="1" si="32"/>
        <v>0.45123552625946284</v>
      </c>
      <c r="BY35">
        <f t="shared" ca="1" si="33"/>
        <v>0.1900131315327595</v>
      </c>
    </row>
    <row r="36" spans="1:77" x14ac:dyDescent="0.25">
      <c r="A36" s="74"/>
      <c r="B36" s="74"/>
      <c r="C36" s="194">
        <f t="shared" si="0"/>
        <v>0.67200000000000026</v>
      </c>
      <c r="D36" s="196">
        <f t="shared" si="41"/>
        <v>-0.21000000000000008</v>
      </c>
      <c r="E36" s="193">
        <f t="shared" ca="1" si="9"/>
        <v>-0.10236772751000608</v>
      </c>
      <c r="F36" s="307"/>
      <c r="G36" s="232">
        <f t="shared" si="1"/>
        <v>20</v>
      </c>
      <c r="H36" s="182">
        <f t="shared" ca="1" si="10"/>
        <v>58681.300846786427</v>
      </c>
      <c r="I36" s="183" t="str">
        <f t="shared" ca="1" si="2"/>
        <v>LOSS</v>
      </c>
      <c r="J36" s="184">
        <f t="shared" ca="1" si="3"/>
        <v>-2200.5487817544908</v>
      </c>
      <c r="K36" s="185">
        <f t="shared" ca="1" si="11"/>
        <v>-3.7499999999999999E-2</v>
      </c>
      <c r="L36" s="182">
        <f t="shared" ca="1" si="4"/>
        <v>56480.752065031935</v>
      </c>
      <c r="M36" s="182">
        <f ca="1">IF($M$14="non-compounding",SUM($J$17:J36)+$C$3,IFERROR(IF(I36="win",(M35*(1-$C$10)),(M35*(1-$C$11)))+L36,""))</f>
        <v>144502.70333521155</v>
      </c>
      <c r="N36" s="186">
        <f t="shared" ca="1" si="5"/>
        <v>0.44502703335211552</v>
      </c>
      <c r="O36" s="74"/>
      <c r="Q36">
        <f t="shared" si="6"/>
        <v>20</v>
      </c>
      <c r="R36">
        <f t="shared" ca="1" si="12"/>
        <v>-3.7499999999999999E-2</v>
      </c>
      <c r="S36">
        <v>20</v>
      </c>
      <c r="T36">
        <f t="shared" ca="1" si="13"/>
        <v>0.15</v>
      </c>
      <c r="U36">
        <f t="shared" ca="1" si="7"/>
        <v>-3.7499999999999999E-2</v>
      </c>
      <c r="V36">
        <f ca="1">COUNTIF($U$17:U35,$C$8)</f>
        <v>7</v>
      </c>
      <c r="W36">
        <f ca="1">COUNTIF($U$17:U35,$C$9)</f>
        <v>12</v>
      </c>
      <c r="Y36">
        <v>19</v>
      </c>
      <c r="Z36">
        <f t="shared" si="14"/>
        <v>-3.7499999999999999E-2</v>
      </c>
      <c r="AB36">
        <f t="shared" si="15"/>
        <v>-0.04</v>
      </c>
      <c r="AC36">
        <f t="shared" ca="1" si="16"/>
        <v>0.15</v>
      </c>
      <c r="AD36">
        <f ca="1">COUNTIF($AC$17:AC35,$D$8)</f>
        <v>6</v>
      </c>
      <c r="AE36">
        <f ca="1">COUNTIF($AC$17:AC35,$D$9)</f>
        <v>13</v>
      </c>
      <c r="AF36">
        <f t="shared" ca="1" si="17"/>
        <v>46007.799560044623</v>
      </c>
      <c r="AG36">
        <f t="shared" ca="1" si="34"/>
        <v>6901.1699340066934</v>
      </c>
      <c r="AH36">
        <f t="shared" ca="1" si="19"/>
        <v>0.15</v>
      </c>
      <c r="AI36">
        <f t="shared" ca="1" si="18"/>
        <v>52908.969494051315</v>
      </c>
      <c r="AJ36" s="60">
        <f ca="1">IF($M$14="non-compounding",SUM($AG$17:AG36)+$C$3,IFERROR(IF(AH36&gt;0,(AJ35*(1-$D$10)),(AJ35*(1-$D$11)))+AI36,""))</f>
        <v>121920.66883411825</v>
      </c>
      <c r="AM36">
        <f t="shared" ref="AM36:AV36" si="62">IF(AM$17&gt;ROUND($B$15*$AL$17,0),$D34,$C34)</f>
        <v>0.60800000000000021</v>
      </c>
      <c r="AN36">
        <f t="shared" si="62"/>
        <v>0.60800000000000021</v>
      </c>
      <c r="AO36">
        <f t="shared" si="62"/>
        <v>0.60800000000000021</v>
      </c>
      <c r="AP36">
        <f t="shared" si="62"/>
        <v>-0.19000000000000006</v>
      </c>
      <c r="AQ36">
        <f t="shared" si="62"/>
        <v>-0.19000000000000006</v>
      </c>
      <c r="AR36">
        <f t="shared" si="62"/>
        <v>-0.19000000000000006</v>
      </c>
      <c r="AS36">
        <f t="shared" si="62"/>
        <v>-0.19000000000000006</v>
      </c>
      <c r="AT36">
        <f t="shared" si="62"/>
        <v>-0.19000000000000006</v>
      </c>
      <c r="AU36">
        <f t="shared" si="62"/>
        <v>-0.19000000000000006</v>
      </c>
      <c r="AV36">
        <f t="shared" si="62"/>
        <v>-0.19000000000000006</v>
      </c>
      <c r="AW36">
        <f t="shared" ca="1" si="21"/>
        <v>24320.000000000007</v>
      </c>
      <c r="AX36">
        <f t="shared" ca="1" si="52"/>
        <v>39106.560000000019</v>
      </c>
      <c r="AY36">
        <f t="shared" ca="1" si="53"/>
        <v>62883.348480000037</v>
      </c>
      <c r="AZ36">
        <f t="shared" ca="1" si="54"/>
        <v>-31598.882611200024</v>
      </c>
      <c r="BA36">
        <f t="shared" ca="1" si="55"/>
        <v>-25595.094915072019</v>
      </c>
      <c r="BB36">
        <f t="shared" ca="1" si="56"/>
        <v>-20732.026881208334</v>
      </c>
      <c r="BC36">
        <f t="shared" ca="1" si="57"/>
        <v>-16792.941773778748</v>
      </c>
      <c r="BD36">
        <f t="shared" ca="1" si="58"/>
        <v>-13602.282836760785</v>
      </c>
      <c r="BE36">
        <f t="shared" ca="1" si="59"/>
        <v>-11017.849097776234</v>
      </c>
      <c r="BF36">
        <f t="shared" ca="1" si="60"/>
        <v>-8924.4577691987506</v>
      </c>
      <c r="BG36">
        <f t="shared" ca="1" si="23"/>
        <v>64320.000000000007</v>
      </c>
      <c r="BH36">
        <f t="shared" ca="1" si="61"/>
        <v>103426.56000000003</v>
      </c>
      <c r="BI36">
        <f t="shared" ca="1" si="61"/>
        <v>166309.90848000007</v>
      </c>
      <c r="BJ36">
        <f t="shared" ca="1" si="61"/>
        <v>134711.02586880006</v>
      </c>
      <c r="BK36">
        <f t="shared" ca="1" si="61"/>
        <v>109115.93095372804</v>
      </c>
      <c r="BL36">
        <f t="shared" ca="1" si="61"/>
        <v>88383.904072519697</v>
      </c>
      <c r="BM36">
        <f t="shared" ca="1" si="61"/>
        <v>71590.962298740953</v>
      </c>
      <c r="BN36">
        <f t="shared" ca="1" si="61"/>
        <v>57988.679461980166</v>
      </c>
      <c r="BO36">
        <f t="shared" ca="1" si="61"/>
        <v>46970.830364203932</v>
      </c>
      <c r="BP36">
        <f t="shared" ca="1" si="61"/>
        <v>38046.372595005181</v>
      </c>
      <c r="BQ36">
        <f t="shared" ca="1" si="25"/>
        <v>0.60800000000000021</v>
      </c>
      <c r="BR36">
        <f t="shared" ca="1" si="26"/>
        <v>1.5856640000000006</v>
      </c>
      <c r="BS36">
        <f t="shared" ca="1" si="27"/>
        <v>3.1577477120000017</v>
      </c>
      <c r="BT36">
        <f t="shared" ca="1" si="28"/>
        <v>2.3677756467200015</v>
      </c>
      <c r="BU36">
        <f t="shared" ca="1" si="29"/>
        <v>1.7278982738432009</v>
      </c>
      <c r="BV36">
        <f t="shared" ca="1" si="30"/>
        <v>1.2095976018129924</v>
      </c>
      <c r="BW36">
        <f t="shared" ca="1" si="31"/>
        <v>0.7897740574685238</v>
      </c>
      <c r="BX36">
        <f t="shared" ca="1" si="32"/>
        <v>0.44971698654950415</v>
      </c>
      <c r="BY36">
        <f t="shared" ca="1" si="33"/>
        <v>0.17427075910509829</v>
      </c>
    </row>
    <row r="37" spans="1:77" x14ac:dyDescent="0.25">
      <c r="A37" s="74"/>
      <c r="B37" s="74"/>
      <c r="C37" s="194">
        <f t="shared" si="0"/>
        <v>0.70400000000000029</v>
      </c>
      <c r="D37" s="196">
        <f t="shared" si="41"/>
        <v>-0.22000000000000008</v>
      </c>
      <c r="E37" s="193">
        <f t="shared" ca="1" si="9"/>
        <v>-0.13089751813314068</v>
      </c>
      <c r="F37" s="307"/>
      <c r="G37" s="232">
        <f t="shared" si="1"/>
        <v>21</v>
      </c>
      <c r="H37" s="182">
        <f t="shared" ca="1" si="10"/>
        <v>57801.081334084622</v>
      </c>
      <c r="I37" s="183" t="str">
        <f t="shared" ca="1" si="2"/>
        <v>LOSS</v>
      </c>
      <c r="J37" s="184">
        <f t="shared" ca="1" si="3"/>
        <v>-2167.5405500281731</v>
      </c>
      <c r="K37" s="185">
        <f t="shared" ca="1" si="11"/>
        <v>-3.7499999999999999E-2</v>
      </c>
      <c r="L37" s="182">
        <f t="shared" ca="1" si="4"/>
        <v>55633.540784056451</v>
      </c>
      <c r="M37" s="182">
        <f ca="1">IF($M$14="non-compounding",SUM($J$17:J37)+$C$3,IFERROR(IF(I37="win",(M36*(1-$C$10)),(M36*(1-$C$11)))+L37,""))</f>
        <v>142335.16278518338</v>
      </c>
      <c r="N37" s="186">
        <f t="shared" ca="1" si="5"/>
        <v>0.42335162785183378</v>
      </c>
      <c r="O37" s="74"/>
      <c r="Q37">
        <f t="shared" si="6"/>
        <v>21</v>
      </c>
      <c r="R37">
        <f t="shared" ca="1" si="12"/>
        <v>-3.7499999999999999E-2</v>
      </c>
      <c r="S37">
        <v>21</v>
      </c>
      <c r="T37">
        <f t="shared" ca="1" si="13"/>
        <v>-0.04</v>
      </c>
      <c r="U37">
        <f t="shared" ca="1" si="7"/>
        <v>-3.7499999999999999E-2</v>
      </c>
      <c r="V37">
        <f ca="1">COUNTIF($U$17:U36,$C$8)</f>
        <v>7</v>
      </c>
      <c r="W37">
        <f ca="1">COUNTIF($U$17:U36,$C$9)</f>
        <v>13</v>
      </c>
      <c r="Y37">
        <v>20</v>
      </c>
      <c r="Z37">
        <f t="shared" si="14"/>
        <v>-3.7499999999999999E-2</v>
      </c>
      <c r="AB37">
        <f t="shared" si="15"/>
        <v>-0.04</v>
      </c>
      <c r="AC37">
        <f t="shared" ca="1" si="16"/>
        <v>-0.04</v>
      </c>
      <c r="AD37">
        <f ca="1">COUNTIF($AC$17:AC36,$D$8)</f>
        <v>7</v>
      </c>
      <c r="AE37">
        <f ca="1">COUNTIF($AC$17:AC36,$D$9)</f>
        <v>13</v>
      </c>
      <c r="AF37">
        <f t="shared" ca="1" si="17"/>
        <v>48768.267533647304</v>
      </c>
      <c r="AG37">
        <f t="shared" ca="1" si="34"/>
        <v>-1950.7307013458922</v>
      </c>
      <c r="AH37">
        <f t="shared" ca="1" si="19"/>
        <v>-0.04</v>
      </c>
      <c r="AI37">
        <f t="shared" ca="1" si="18"/>
        <v>46817.536832301412</v>
      </c>
      <c r="AJ37" s="60">
        <f ca="1">IF($M$14="non-compounding",SUM($AG$17:AG37)+$C$3,IFERROR(IF(AH37&gt;0,(AJ36*(1-$D$10)),(AJ36*(1-$D$11)))+AI37,""))</f>
        <v>119969.93813277235</v>
      </c>
      <c r="AM37">
        <f t="shared" ref="AM37:AV37" si="63">IF(AM$17&gt;ROUND($B$15*$AL$17,0),$D35,$C35)</f>
        <v>0.64000000000000024</v>
      </c>
      <c r="AN37">
        <f t="shared" si="63"/>
        <v>0.64000000000000024</v>
      </c>
      <c r="AO37">
        <f t="shared" si="63"/>
        <v>0.64000000000000024</v>
      </c>
      <c r="AP37">
        <f t="shared" si="63"/>
        <v>-0.20000000000000007</v>
      </c>
      <c r="AQ37">
        <f t="shared" si="63"/>
        <v>-0.20000000000000007</v>
      </c>
      <c r="AR37">
        <f t="shared" si="63"/>
        <v>-0.20000000000000007</v>
      </c>
      <c r="AS37">
        <f t="shared" si="63"/>
        <v>-0.20000000000000007</v>
      </c>
      <c r="AT37">
        <f t="shared" si="63"/>
        <v>-0.20000000000000007</v>
      </c>
      <c r="AU37">
        <f t="shared" si="63"/>
        <v>-0.20000000000000007</v>
      </c>
      <c r="AV37">
        <f t="shared" si="63"/>
        <v>-0.20000000000000007</v>
      </c>
      <c r="AW37">
        <f t="shared" ca="1" si="21"/>
        <v>25600.000000000011</v>
      </c>
      <c r="AX37">
        <f t="shared" ca="1" si="52"/>
        <v>41984.000000000022</v>
      </c>
      <c r="AY37">
        <f t="shared" ca="1" si="53"/>
        <v>68853.760000000038</v>
      </c>
      <c r="AZ37">
        <f t="shared" ca="1" si="54"/>
        <v>-35287.552000000025</v>
      </c>
      <c r="BA37">
        <f t="shared" ca="1" si="55"/>
        <v>-28230.041600000019</v>
      </c>
      <c r="BB37">
        <f t="shared" ca="1" si="56"/>
        <v>-22584.033280000011</v>
      </c>
      <c r="BC37">
        <f t="shared" ca="1" si="57"/>
        <v>-18067.22662400001</v>
      </c>
      <c r="BD37">
        <f t="shared" ca="1" si="58"/>
        <v>-14453.781299200007</v>
      </c>
      <c r="BE37">
        <f t="shared" ca="1" si="59"/>
        <v>-11563.025039360004</v>
      </c>
      <c r="BF37">
        <f t="shared" ca="1" si="60"/>
        <v>-9250.4200314880036</v>
      </c>
      <c r="BG37">
        <f t="shared" ca="1" si="23"/>
        <v>65600.000000000015</v>
      </c>
      <c r="BH37">
        <f t="shared" ca="1" si="61"/>
        <v>107584.00000000003</v>
      </c>
      <c r="BI37">
        <f t="shared" ca="1" si="61"/>
        <v>176437.76000000007</v>
      </c>
      <c r="BJ37">
        <f t="shared" ca="1" si="61"/>
        <v>141150.20800000004</v>
      </c>
      <c r="BK37">
        <f t="shared" ca="1" si="61"/>
        <v>112920.16640000002</v>
      </c>
      <c r="BL37">
        <f t="shared" ca="1" si="61"/>
        <v>90336.133120000013</v>
      </c>
      <c r="BM37">
        <f t="shared" ca="1" si="61"/>
        <v>72268.906496000011</v>
      </c>
      <c r="BN37">
        <f t="shared" ca="1" si="61"/>
        <v>57815.1251968</v>
      </c>
      <c r="BO37">
        <f t="shared" ca="1" si="61"/>
        <v>46252.10015744</v>
      </c>
      <c r="BP37">
        <f t="shared" ca="1" si="61"/>
        <v>37001.680125952</v>
      </c>
      <c r="BQ37">
        <f t="shared" ca="1" si="25"/>
        <v>0.64000000000000035</v>
      </c>
      <c r="BR37">
        <f t="shared" ca="1" si="26"/>
        <v>1.6896000000000007</v>
      </c>
      <c r="BS37">
        <f t="shared" ca="1" si="27"/>
        <v>3.4109440000000015</v>
      </c>
      <c r="BT37">
        <f t="shared" ca="1" si="28"/>
        <v>2.5287552000000009</v>
      </c>
      <c r="BU37">
        <f t="shared" ca="1" si="29"/>
        <v>1.8230041600000004</v>
      </c>
      <c r="BV37">
        <f t="shared" ca="1" si="30"/>
        <v>1.2584033280000004</v>
      </c>
      <c r="BW37">
        <f t="shared" ca="1" si="31"/>
        <v>0.80672266240000023</v>
      </c>
      <c r="BX37">
        <f t="shared" ca="1" si="32"/>
        <v>0.44537812991999998</v>
      </c>
      <c r="BY37">
        <f t="shared" ca="1" si="33"/>
        <v>0.15630250393599998</v>
      </c>
    </row>
    <row r="38" spans="1:77" x14ac:dyDescent="0.25">
      <c r="A38" s="74"/>
      <c r="B38" s="74"/>
      <c r="C38" s="194">
        <f t="shared" si="0"/>
        <v>0.73600000000000032</v>
      </c>
      <c r="D38" s="196">
        <f t="shared" si="41"/>
        <v>-0.23000000000000009</v>
      </c>
      <c r="E38" s="193">
        <f t="shared" ca="1" si="9"/>
        <v>-0.16037717028614953</v>
      </c>
      <c r="F38" s="307"/>
      <c r="G38" s="232">
        <f t="shared" si="1"/>
        <v>22</v>
      </c>
      <c r="H38" s="182">
        <f t="shared" ca="1" si="10"/>
        <v>56934.065114073353</v>
      </c>
      <c r="I38" s="183" t="str">
        <f t="shared" ca="1" si="2"/>
        <v>LOSS</v>
      </c>
      <c r="J38" s="184">
        <f t="shared" ca="1" si="3"/>
        <v>-2135.0274417777505</v>
      </c>
      <c r="K38" s="185">
        <f t="shared" ca="1" si="11"/>
        <v>-3.7499999999999999E-2</v>
      </c>
      <c r="L38" s="182">
        <f t="shared" ca="1" si="4"/>
        <v>54799.037672295606</v>
      </c>
      <c r="M38" s="182">
        <f ca="1">IF($M$14="non-compounding",SUM($J$17:J38)+$C$3,IFERROR(IF(I38="win",(M37*(1-$C$10)),(M37*(1-$C$11)))+L38,""))</f>
        <v>140200.13534340562</v>
      </c>
      <c r="N38" s="186">
        <f t="shared" ca="1" si="5"/>
        <v>0.40200135343405624</v>
      </c>
      <c r="O38" s="74"/>
      <c r="Q38">
        <f t="shared" si="6"/>
        <v>22</v>
      </c>
      <c r="R38">
        <f t="shared" ca="1" si="12"/>
        <v>-3.7499999999999999E-2</v>
      </c>
      <c r="S38">
        <v>22</v>
      </c>
      <c r="T38">
        <f t="shared" ca="1" si="13"/>
        <v>-0.04</v>
      </c>
      <c r="U38">
        <f t="shared" ca="1" si="7"/>
        <v>-3.7499999999999999E-2</v>
      </c>
      <c r="V38">
        <f ca="1">COUNTIF($U$17:U37,$C$8)</f>
        <v>7</v>
      </c>
      <c r="W38">
        <f ca="1">COUNTIF($U$17:U37,$C$9)</f>
        <v>14</v>
      </c>
      <c r="AC38">
        <f t="shared" ca="1" si="16"/>
        <v>-0.04</v>
      </c>
      <c r="AD38">
        <f ca="1">COUNTIF($AC$17:AC37,$D$8)</f>
        <v>7</v>
      </c>
      <c r="AE38">
        <f ca="1">COUNTIF($AC$17:AC37,$D$9)</f>
        <v>14</v>
      </c>
      <c r="AF38">
        <f t="shared" ca="1" si="17"/>
        <v>47987.975253108947</v>
      </c>
      <c r="AG38">
        <f t="shared" ca="1" si="34"/>
        <v>-1919.5190101243579</v>
      </c>
      <c r="AH38">
        <f t="shared" ca="1" si="19"/>
        <v>-0.04</v>
      </c>
      <c r="AI38">
        <f t="shared" ca="1" si="18"/>
        <v>46068.45624298459</v>
      </c>
      <c r="AJ38" s="60">
        <f ca="1">IF($M$14="non-compounding",SUM($AG$17:AG38)+$C$3,IFERROR(IF(AH38&gt;0,(AJ37*(1-$D$10)),(AJ37*(1-$D$11)))+AI38,""))</f>
        <v>118050.41912264799</v>
      </c>
      <c r="AM38">
        <f t="shared" ref="AM38:AV38" si="64">IF(AM$17&gt;ROUND($B$15*$AL$17,0),$D36,$C36)</f>
        <v>0.67200000000000026</v>
      </c>
      <c r="AN38">
        <f t="shared" si="64"/>
        <v>0.67200000000000026</v>
      </c>
      <c r="AO38">
        <f t="shared" si="64"/>
        <v>0.67200000000000026</v>
      </c>
      <c r="AP38">
        <f t="shared" si="64"/>
        <v>-0.21000000000000008</v>
      </c>
      <c r="AQ38">
        <f t="shared" si="64"/>
        <v>-0.21000000000000008</v>
      </c>
      <c r="AR38">
        <f t="shared" si="64"/>
        <v>-0.21000000000000008</v>
      </c>
      <c r="AS38">
        <f t="shared" si="64"/>
        <v>-0.21000000000000008</v>
      </c>
      <c r="AT38">
        <f t="shared" si="64"/>
        <v>-0.21000000000000008</v>
      </c>
      <c r="AU38">
        <f t="shared" si="64"/>
        <v>-0.21000000000000008</v>
      </c>
      <c r="AV38">
        <f t="shared" si="64"/>
        <v>-0.21000000000000008</v>
      </c>
      <c r="AW38">
        <f t="shared" ca="1" si="21"/>
        <v>26880.000000000011</v>
      </c>
      <c r="AX38">
        <f t="shared" ca="1" si="52"/>
        <v>44943.36000000003</v>
      </c>
      <c r="AY38">
        <f t="shared" ca="1" si="53"/>
        <v>75145.297920000055</v>
      </c>
      <c r="AZ38">
        <f t="shared" ca="1" si="54"/>
        <v>-39263.418163200033</v>
      </c>
      <c r="BA38">
        <f t="shared" ca="1" si="55"/>
        <v>-31018.100348928023</v>
      </c>
      <c r="BB38">
        <f t="shared" ca="1" si="56"/>
        <v>-24504.299275653135</v>
      </c>
      <c r="BC38">
        <f t="shared" ca="1" si="57"/>
        <v>-19358.396427765976</v>
      </c>
      <c r="BD38">
        <f t="shared" ca="1" si="58"/>
        <v>-15293.133177935119</v>
      </c>
      <c r="BE38">
        <f t="shared" ca="1" si="59"/>
        <v>-12081.575210568742</v>
      </c>
      <c r="BF38">
        <f t="shared" ca="1" si="60"/>
        <v>-9544.4444163493063</v>
      </c>
      <c r="BG38">
        <f t="shared" ca="1" si="23"/>
        <v>66880.000000000015</v>
      </c>
      <c r="BH38">
        <f t="shared" ca="1" si="61"/>
        <v>111823.36000000004</v>
      </c>
      <c r="BI38">
        <f t="shared" ca="1" si="61"/>
        <v>186968.65792000009</v>
      </c>
      <c r="BJ38">
        <f t="shared" ca="1" si="61"/>
        <v>147705.23975680006</v>
      </c>
      <c r="BK38">
        <f t="shared" ca="1" si="61"/>
        <v>116687.13940787203</v>
      </c>
      <c r="BL38">
        <f t="shared" ca="1" si="61"/>
        <v>92182.840132218902</v>
      </c>
      <c r="BM38">
        <f t="shared" ca="1" si="61"/>
        <v>72824.443704452919</v>
      </c>
      <c r="BN38">
        <f t="shared" ca="1" si="61"/>
        <v>57531.310526517802</v>
      </c>
      <c r="BO38">
        <f t="shared" ca="1" si="61"/>
        <v>45449.735315949059</v>
      </c>
      <c r="BP38">
        <f t="shared" ca="1" si="61"/>
        <v>35905.290899599757</v>
      </c>
      <c r="BQ38">
        <f t="shared" ca="1" si="25"/>
        <v>0.67200000000000037</v>
      </c>
      <c r="BR38">
        <f t="shared" ca="1" si="26"/>
        <v>1.7955840000000012</v>
      </c>
      <c r="BS38">
        <f t="shared" ca="1" si="27"/>
        <v>3.6742164480000019</v>
      </c>
      <c r="BT38">
        <f t="shared" ca="1" si="28"/>
        <v>2.6926309939200017</v>
      </c>
      <c r="BU38">
        <f t="shared" ca="1" si="29"/>
        <v>1.9171784851968008</v>
      </c>
      <c r="BV38">
        <f t="shared" ca="1" si="30"/>
        <v>1.3045710033054725</v>
      </c>
      <c r="BW38">
        <f t="shared" ca="1" si="31"/>
        <v>0.82061109261132292</v>
      </c>
      <c r="BX38">
        <f t="shared" ca="1" si="32"/>
        <v>0.43828276316294507</v>
      </c>
      <c r="BY38">
        <f t="shared" ca="1" si="33"/>
        <v>0.13624338289872648</v>
      </c>
    </row>
    <row r="39" spans="1:77" x14ac:dyDescent="0.25">
      <c r="A39" s="74"/>
      <c r="B39" s="74"/>
      <c r="C39" s="194">
        <f t="shared" si="0"/>
        <v>0.76800000000000035</v>
      </c>
      <c r="D39" s="196">
        <f t="shared" si="41"/>
        <v>-0.2400000000000001</v>
      </c>
      <c r="E39" s="193">
        <f t="shared" ca="1" si="9"/>
        <v>-0.19063964402839248</v>
      </c>
      <c r="F39" s="307"/>
      <c r="G39" s="232">
        <f t="shared" si="1"/>
        <v>23</v>
      </c>
      <c r="H39" s="182">
        <f t="shared" ca="1" si="10"/>
        <v>56080.054137362255</v>
      </c>
      <c r="I39" s="183" t="str">
        <f t="shared" ca="1" si="2"/>
        <v>LOSS</v>
      </c>
      <c r="J39" s="184">
        <f t="shared" ca="1" si="3"/>
        <v>-2103.0020301510845</v>
      </c>
      <c r="K39" s="185">
        <f t="shared" ca="1" si="11"/>
        <v>-3.7499999999999999E-2</v>
      </c>
      <c r="L39" s="182">
        <f t="shared" ca="1" si="4"/>
        <v>53977.052107211173</v>
      </c>
      <c r="M39" s="182">
        <f ca="1">IF($M$14="non-compounding",SUM($J$17:J39)+$C$3,IFERROR(IF(I39="win",(M38*(1-$C$10)),(M38*(1-$C$11)))+L39,""))</f>
        <v>138097.13331325454</v>
      </c>
      <c r="N39" s="186">
        <f t="shared" ca="1" si="5"/>
        <v>0.38097133313254539</v>
      </c>
      <c r="O39" s="74"/>
      <c r="Q39">
        <f t="shared" si="6"/>
        <v>23</v>
      </c>
      <c r="R39">
        <f t="shared" ca="1" si="12"/>
        <v>-3.7499999999999999E-2</v>
      </c>
      <c r="S39">
        <v>23</v>
      </c>
      <c r="T39">
        <f t="shared" ca="1" si="13"/>
        <v>0.15</v>
      </c>
      <c r="U39">
        <f t="shared" ca="1" si="7"/>
        <v>-3.7499999999999999E-2</v>
      </c>
      <c r="V39">
        <f ca="1">COUNTIF($U$17:U38,$C$8)</f>
        <v>7</v>
      </c>
      <c r="W39">
        <f ca="1">COUNTIF($U$17:U38,$C$9)</f>
        <v>15</v>
      </c>
      <c r="AC39">
        <f t="shared" ca="1" si="16"/>
        <v>0.15</v>
      </c>
      <c r="AD39">
        <f ca="1">COUNTIF($AC$17:AC38,$D$8)</f>
        <v>7</v>
      </c>
      <c r="AE39">
        <f ca="1">COUNTIF($AC$17:AC38,$D$9)</f>
        <v>15</v>
      </c>
      <c r="AF39">
        <f t="shared" ca="1" si="17"/>
        <v>47220.1676490592</v>
      </c>
      <c r="AG39">
        <f t="shared" ca="1" si="34"/>
        <v>7083.0251473588796</v>
      </c>
      <c r="AH39">
        <f t="shared" ca="1" si="19"/>
        <v>0.15</v>
      </c>
      <c r="AI39">
        <f t="shared" ca="1" si="18"/>
        <v>54303.19279641808</v>
      </c>
      <c r="AJ39" s="60">
        <f ca="1">IF($M$14="non-compounding",SUM($AG$17:AG39)+$C$3,IFERROR(IF(AH39&gt;0,(AJ38*(1-$D$10)),(AJ38*(1-$D$11)))+AI39,""))</f>
        <v>125133.44427000688</v>
      </c>
      <c r="AM39">
        <f t="shared" ref="AM39:AV39" si="65">IF(AM$17&gt;ROUND($B$15*$AL$17,0),$D37,$C37)</f>
        <v>0.70400000000000029</v>
      </c>
      <c r="AN39">
        <f t="shared" si="65"/>
        <v>0.70400000000000029</v>
      </c>
      <c r="AO39">
        <f t="shared" si="65"/>
        <v>0.70400000000000029</v>
      </c>
      <c r="AP39">
        <f t="shared" si="65"/>
        <v>-0.22000000000000008</v>
      </c>
      <c r="AQ39">
        <f t="shared" si="65"/>
        <v>-0.22000000000000008</v>
      </c>
      <c r="AR39">
        <f t="shared" si="65"/>
        <v>-0.22000000000000008</v>
      </c>
      <c r="AS39">
        <f t="shared" si="65"/>
        <v>-0.22000000000000008</v>
      </c>
      <c r="AT39">
        <f t="shared" si="65"/>
        <v>-0.22000000000000008</v>
      </c>
      <c r="AU39">
        <f t="shared" si="65"/>
        <v>-0.22000000000000008</v>
      </c>
      <c r="AV39">
        <f t="shared" si="65"/>
        <v>-0.22000000000000008</v>
      </c>
      <c r="AW39">
        <f t="shared" ca="1" si="21"/>
        <v>28160.000000000011</v>
      </c>
      <c r="AX39">
        <f t="shared" ca="1" si="52"/>
        <v>47984.640000000029</v>
      </c>
      <c r="AY39">
        <f t="shared" ca="1" si="53"/>
        <v>81765.82656000006</v>
      </c>
      <c r="AZ39">
        <f t="shared" ca="1" si="54"/>
        <v>-43540.302643200033</v>
      </c>
      <c r="BA39">
        <f t="shared" ca="1" si="55"/>
        <v>-33961.436061696026</v>
      </c>
      <c r="BB39">
        <f t="shared" ca="1" si="56"/>
        <v>-26489.920128122896</v>
      </c>
      <c r="BC39">
        <f t="shared" ca="1" si="57"/>
        <v>-20662.137699935854</v>
      </c>
      <c r="BD39">
        <f t="shared" ca="1" si="58"/>
        <v>-16116.467405949967</v>
      </c>
      <c r="BE39">
        <f t="shared" ca="1" si="59"/>
        <v>-12570.844576640971</v>
      </c>
      <c r="BF39">
        <f t="shared" ca="1" si="60"/>
        <v>-9805.2587697799572</v>
      </c>
      <c r="BG39">
        <f t="shared" ca="1" si="23"/>
        <v>68160.000000000015</v>
      </c>
      <c r="BH39">
        <f t="shared" ca="1" si="61"/>
        <v>116144.64000000004</v>
      </c>
      <c r="BI39">
        <f t="shared" ca="1" si="61"/>
        <v>197910.46656000009</v>
      </c>
      <c r="BJ39">
        <f t="shared" ca="1" si="61"/>
        <v>154370.16391680005</v>
      </c>
      <c r="BK39">
        <f t="shared" ca="1" si="61"/>
        <v>120408.72785510402</v>
      </c>
      <c r="BL39">
        <f t="shared" ca="1" si="61"/>
        <v>93918.807726981118</v>
      </c>
      <c r="BM39">
        <f t="shared" ca="1" si="61"/>
        <v>73256.670027045271</v>
      </c>
      <c r="BN39">
        <f t="shared" ca="1" si="61"/>
        <v>57140.202621095304</v>
      </c>
      <c r="BO39">
        <f t="shared" ca="1" si="61"/>
        <v>44569.358044454333</v>
      </c>
      <c r="BP39">
        <f t="shared" ca="1" si="61"/>
        <v>34764.099274674372</v>
      </c>
      <c r="BQ39">
        <f t="shared" ca="1" si="25"/>
        <v>0.7040000000000004</v>
      </c>
      <c r="BR39">
        <f t="shared" ca="1" si="26"/>
        <v>1.9036160000000011</v>
      </c>
      <c r="BS39">
        <f t="shared" ca="1" si="27"/>
        <v>3.9477616640000024</v>
      </c>
      <c r="BT39">
        <f t="shared" ca="1" si="28"/>
        <v>2.8592540979200014</v>
      </c>
      <c r="BU39">
        <f t="shared" ca="1" si="29"/>
        <v>2.0102181963776005</v>
      </c>
      <c r="BV39">
        <f t="shared" ca="1" si="30"/>
        <v>1.347970193174528</v>
      </c>
      <c r="BW39">
        <f t="shared" ca="1" si="31"/>
        <v>0.83141675067613174</v>
      </c>
      <c r="BX39">
        <f t="shared" ca="1" si="32"/>
        <v>0.4285050655273826</v>
      </c>
      <c r="BY39">
        <f t="shared" ca="1" si="33"/>
        <v>0.11423395111135833</v>
      </c>
    </row>
    <row r="40" spans="1:77" x14ac:dyDescent="0.25">
      <c r="A40" s="74"/>
      <c r="B40" s="74"/>
      <c r="C40" s="194">
        <f t="shared" si="0"/>
        <v>0.80000000000000038</v>
      </c>
      <c r="D40" s="196">
        <f t="shared" si="41"/>
        <v>-0.25000000000000011</v>
      </c>
      <c r="E40" s="193">
        <f t="shared" ca="1" si="9"/>
        <v>-0.22152197265625026</v>
      </c>
      <c r="F40" s="307"/>
      <c r="G40" s="232">
        <f t="shared" si="1"/>
        <v>24</v>
      </c>
      <c r="H40" s="182">
        <f t="shared" ca="1" si="10"/>
        <v>96667.993319278175</v>
      </c>
      <c r="I40" s="183" t="str">
        <f t="shared" ca="1" si="2"/>
        <v>WIN</v>
      </c>
      <c r="J40" s="184">
        <f t="shared" ca="1" si="3"/>
        <v>11600.15919831338</v>
      </c>
      <c r="K40" s="185">
        <f t="shared" ca="1" si="11"/>
        <v>0.12</v>
      </c>
      <c r="L40" s="182">
        <f t="shared" ca="1" si="4"/>
        <v>108268.15251759156</v>
      </c>
      <c r="M40" s="182">
        <f ca="1">IF($M$14="non-compounding",SUM($J$17:J40)+$C$3,IFERROR(IF(I40="win",(M39*(1-$C$10)),(M39*(1-$C$11)))+L40,""))</f>
        <v>149697.29251156794</v>
      </c>
      <c r="N40" s="186">
        <f t="shared" ca="1" si="5"/>
        <v>0.49697292511567936</v>
      </c>
      <c r="O40" s="74"/>
      <c r="Q40">
        <f t="shared" si="6"/>
        <v>24</v>
      </c>
      <c r="R40">
        <f t="shared" ca="1" si="12"/>
        <v>0.12</v>
      </c>
      <c r="S40">
        <v>24</v>
      </c>
      <c r="T40">
        <f t="shared" ca="1" si="13"/>
        <v>0.15</v>
      </c>
      <c r="U40">
        <f t="shared" ca="1" si="7"/>
        <v>0.12</v>
      </c>
      <c r="V40">
        <f ca="1">COUNTIF($U$17:U39,$C$8)</f>
        <v>7</v>
      </c>
      <c r="W40">
        <f ca="1">COUNTIF($U$17:U39,$C$9)</f>
        <v>16</v>
      </c>
      <c r="AC40">
        <f t="shared" ca="1" si="16"/>
        <v>0.15</v>
      </c>
      <c r="AD40">
        <f ca="1">COUNTIF($AC$17:AC39,$D$8)</f>
        <v>8</v>
      </c>
      <c r="AE40">
        <f ca="1">COUNTIF($AC$17:AC39,$D$9)</f>
        <v>15</v>
      </c>
      <c r="AF40">
        <f t="shared" ca="1" si="17"/>
        <v>50053.37770800275</v>
      </c>
      <c r="AG40">
        <f t="shared" ca="1" si="34"/>
        <v>7508.0066562004122</v>
      </c>
      <c r="AH40">
        <f t="shared" ca="1" si="19"/>
        <v>0.15</v>
      </c>
      <c r="AI40">
        <f t="shared" ca="1" si="18"/>
        <v>57561.384364203164</v>
      </c>
      <c r="AJ40" s="60">
        <f ca="1">IF($M$14="non-compounding",SUM($AG$17:AG40)+$C$3,IFERROR(IF(AH40&gt;0,(AJ39*(1-$D$10)),(AJ39*(1-$D$11)))+AI40,""))</f>
        <v>132641.4509262073</v>
      </c>
      <c r="AM40">
        <f t="shared" ref="AM40:AV40" si="66">IF(AM$17&gt;ROUND($B$15*$AL$17,0),$D38,$C38)</f>
        <v>0.73600000000000032</v>
      </c>
      <c r="AN40">
        <f t="shared" si="66"/>
        <v>0.73600000000000032</v>
      </c>
      <c r="AO40">
        <f t="shared" si="66"/>
        <v>0.73600000000000032</v>
      </c>
      <c r="AP40">
        <f t="shared" si="66"/>
        <v>-0.23000000000000009</v>
      </c>
      <c r="AQ40">
        <f t="shared" si="66"/>
        <v>-0.23000000000000009</v>
      </c>
      <c r="AR40">
        <f t="shared" si="66"/>
        <v>-0.23000000000000009</v>
      </c>
      <c r="AS40">
        <f t="shared" si="66"/>
        <v>-0.23000000000000009</v>
      </c>
      <c r="AT40">
        <f t="shared" si="66"/>
        <v>-0.23000000000000009</v>
      </c>
      <c r="AU40">
        <f t="shared" si="66"/>
        <v>-0.23000000000000009</v>
      </c>
      <c r="AV40">
        <f t="shared" si="66"/>
        <v>-0.23000000000000009</v>
      </c>
      <c r="AW40">
        <f t="shared" ca="1" si="21"/>
        <v>29440.000000000015</v>
      </c>
      <c r="AX40">
        <f t="shared" ca="1" si="52"/>
        <v>51107.840000000033</v>
      </c>
      <c r="AY40">
        <f t="shared" ca="1" si="53"/>
        <v>88723.210240000073</v>
      </c>
      <c r="AZ40">
        <f t="shared" ca="1" si="54"/>
        <v>-48132.341555200052</v>
      </c>
      <c r="BA40">
        <f t="shared" ca="1" si="55"/>
        <v>-37061.902997504032</v>
      </c>
      <c r="BB40">
        <f t="shared" ca="1" si="56"/>
        <v>-28537.665308078103</v>
      </c>
      <c r="BC40">
        <f t="shared" ca="1" si="57"/>
        <v>-21974.002287220137</v>
      </c>
      <c r="BD40">
        <f t="shared" ca="1" si="58"/>
        <v>-16919.981761159503</v>
      </c>
      <c r="BE40">
        <f t="shared" ca="1" si="59"/>
        <v>-13028.385956092816</v>
      </c>
      <c r="BF40">
        <f t="shared" ca="1" si="60"/>
        <v>-10031.857186191466</v>
      </c>
      <c r="BG40">
        <f t="shared" ca="1" si="23"/>
        <v>69440.000000000015</v>
      </c>
      <c r="BH40">
        <f t="shared" ca="1" si="61"/>
        <v>120547.84000000005</v>
      </c>
      <c r="BI40">
        <f t="shared" ca="1" si="61"/>
        <v>209271.05024000013</v>
      </c>
      <c r="BJ40">
        <f t="shared" ca="1" si="61"/>
        <v>161138.70868480008</v>
      </c>
      <c r="BK40">
        <f t="shared" ca="1" si="61"/>
        <v>124076.80568729604</v>
      </c>
      <c r="BL40">
        <f t="shared" ca="1" si="61"/>
        <v>95539.140379217948</v>
      </c>
      <c r="BM40">
        <f t="shared" ca="1" si="61"/>
        <v>73565.138091997811</v>
      </c>
      <c r="BN40">
        <f t="shared" ca="1" si="61"/>
        <v>56645.156330838305</v>
      </c>
      <c r="BO40">
        <f t="shared" ca="1" si="61"/>
        <v>43616.770374745487</v>
      </c>
      <c r="BP40">
        <f t="shared" ca="1" si="61"/>
        <v>33584.913188554019</v>
      </c>
      <c r="BQ40">
        <f t="shared" ca="1" si="25"/>
        <v>0.73600000000000032</v>
      </c>
      <c r="BR40">
        <f t="shared" ca="1" si="26"/>
        <v>2.0136960000000013</v>
      </c>
      <c r="BS40">
        <f t="shared" ca="1" si="27"/>
        <v>4.2317762560000034</v>
      </c>
      <c r="BT40">
        <f t="shared" ca="1" si="28"/>
        <v>3.0284677171200021</v>
      </c>
      <c r="BU40">
        <f t="shared" ca="1" si="29"/>
        <v>2.1019201421824012</v>
      </c>
      <c r="BV40">
        <f t="shared" ca="1" si="30"/>
        <v>1.3884785094804486</v>
      </c>
      <c r="BW40">
        <f t="shared" ca="1" si="31"/>
        <v>0.83912845229994526</v>
      </c>
      <c r="BX40">
        <f t="shared" ca="1" si="32"/>
        <v>0.41612890827095761</v>
      </c>
      <c r="BY40">
        <f t="shared" ca="1" si="33"/>
        <v>9.0419259368637178E-2</v>
      </c>
    </row>
    <row r="41" spans="1:77" x14ac:dyDescent="0.25">
      <c r="A41" s="74"/>
      <c r="B41" s="74"/>
      <c r="C41" s="194">
        <f t="shared" si="0"/>
        <v>0.83200000000000041</v>
      </c>
      <c r="D41" s="196">
        <f t="shared" si="41"/>
        <v>-0.26000000000000012</v>
      </c>
      <c r="E41" s="193">
        <f t="shared" ca="1" si="9"/>
        <v>-0.25286609339052996</v>
      </c>
      <c r="F41" s="307"/>
      <c r="G41" s="232">
        <f t="shared" si="1"/>
        <v>25</v>
      </c>
      <c r="H41" s="182">
        <f t="shared" ca="1" si="10"/>
        <v>59878.917004627176</v>
      </c>
      <c r="I41" s="183" t="str">
        <f t="shared" ca="1" si="2"/>
        <v>LOSS</v>
      </c>
      <c r="J41" s="184">
        <f t="shared" ca="1" si="3"/>
        <v>-2245.4593876735189</v>
      </c>
      <c r="K41" s="185">
        <f t="shared" ca="1" si="11"/>
        <v>-3.7499999999999999E-2</v>
      </c>
      <c r="L41" s="182">
        <f t="shared" ca="1" si="4"/>
        <v>57633.457616953659</v>
      </c>
      <c r="M41" s="182">
        <f ca="1">IF($M$14="non-compounding",SUM($J$17:J41)+$C$3,IFERROR(IF(I41="win",(M40*(1-$C$10)),(M40*(1-$C$11)))+L41,""))</f>
        <v>147451.83312389441</v>
      </c>
      <c r="N41" s="186">
        <f t="shared" ca="1" si="5"/>
        <v>0.4745183312389441</v>
      </c>
      <c r="O41" s="74"/>
      <c r="Q41">
        <f t="shared" si="6"/>
        <v>25</v>
      </c>
      <c r="R41">
        <f t="shared" ca="1" si="12"/>
        <v>-3.7499999999999999E-2</v>
      </c>
      <c r="S41">
        <v>25</v>
      </c>
      <c r="T41">
        <f t="shared" ca="1" si="13"/>
        <v>-0.04</v>
      </c>
      <c r="U41">
        <f t="shared" ca="1" si="7"/>
        <v>-3.7499999999999999E-2</v>
      </c>
      <c r="V41">
        <f ca="1">COUNTIF($U$17:U40,$C$8)</f>
        <v>8</v>
      </c>
      <c r="W41">
        <f ca="1">COUNTIF($U$17:U40,$C$9)</f>
        <v>16</v>
      </c>
      <c r="AC41">
        <f t="shared" ca="1" si="16"/>
        <v>-0.04</v>
      </c>
      <c r="AD41">
        <f ca="1">COUNTIF($AC$17:AC40,$D$8)</f>
        <v>9</v>
      </c>
      <c r="AE41">
        <f ca="1">COUNTIF($AC$17:AC40,$D$9)</f>
        <v>15</v>
      </c>
      <c r="AF41">
        <f t="shared" ca="1" si="17"/>
        <v>53056.580370482923</v>
      </c>
      <c r="AG41">
        <f t="shared" ca="1" si="34"/>
        <v>-2122.263214819317</v>
      </c>
      <c r="AH41">
        <f t="shared" ca="1" si="19"/>
        <v>-0.04</v>
      </c>
      <c r="AI41">
        <f t="shared" ca="1" si="18"/>
        <v>50934.317155663608</v>
      </c>
      <c r="AJ41" s="60">
        <f ca="1">IF($M$14="non-compounding",SUM($AG$17:AG41)+$C$3,IFERROR(IF(AH41&gt;0,(AJ40*(1-$D$10)),(AJ40*(1-$D$11)))+AI41,""))</f>
        <v>130519.18771138799</v>
      </c>
      <c r="AM41">
        <f t="shared" ref="AM41:AV41" si="67">IF(AM$17&gt;ROUND($B$15*$AL$17,0),$D39,$C39)</f>
        <v>0.76800000000000035</v>
      </c>
      <c r="AN41">
        <f t="shared" si="67"/>
        <v>0.76800000000000035</v>
      </c>
      <c r="AO41">
        <f t="shared" si="67"/>
        <v>0.76800000000000035</v>
      </c>
      <c r="AP41">
        <f t="shared" si="67"/>
        <v>-0.2400000000000001</v>
      </c>
      <c r="AQ41">
        <f t="shared" si="67"/>
        <v>-0.2400000000000001</v>
      </c>
      <c r="AR41">
        <f t="shared" si="67"/>
        <v>-0.2400000000000001</v>
      </c>
      <c r="AS41">
        <f t="shared" si="67"/>
        <v>-0.2400000000000001</v>
      </c>
      <c r="AT41">
        <f t="shared" si="67"/>
        <v>-0.2400000000000001</v>
      </c>
      <c r="AU41">
        <f t="shared" si="67"/>
        <v>-0.2400000000000001</v>
      </c>
      <c r="AV41">
        <f t="shared" si="67"/>
        <v>-0.2400000000000001</v>
      </c>
      <c r="AW41">
        <f t="shared" ca="1" si="21"/>
        <v>30720.000000000015</v>
      </c>
      <c r="AX41">
        <f t="shared" ca="1" si="52"/>
        <v>54312.960000000036</v>
      </c>
      <c r="AY41">
        <f t="shared" ca="1" si="53"/>
        <v>96025.313280000075</v>
      </c>
      <c r="AZ41">
        <f t="shared" ca="1" si="54"/>
        <v>-53053.985587200055</v>
      </c>
      <c r="BA41">
        <f t="shared" ca="1" si="55"/>
        <v>-40321.029046272037</v>
      </c>
      <c r="BB41">
        <f t="shared" ca="1" si="56"/>
        <v>-30643.982075166739</v>
      </c>
      <c r="BC41">
        <f t="shared" ca="1" si="57"/>
        <v>-23289.426377126718</v>
      </c>
      <c r="BD41">
        <f t="shared" ca="1" si="58"/>
        <v>-17699.964046616307</v>
      </c>
      <c r="BE41">
        <f t="shared" ca="1" si="59"/>
        <v>-13451.972675428389</v>
      </c>
      <c r="BF41">
        <f t="shared" ca="1" si="60"/>
        <v>-10223.499233325574</v>
      </c>
      <c r="BG41">
        <f t="shared" ca="1" si="23"/>
        <v>70720.000000000015</v>
      </c>
      <c r="BH41">
        <f t="shared" ca="1" si="61"/>
        <v>125032.96000000005</v>
      </c>
      <c r="BI41">
        <f t="shared" ca="1" si="61"/>
        <v>221058.27328000014</v>
      </c>
      <c r="BJ41">
        <f t="shared" ca="1" si="61"/>
        <v>168004.28769280008</v>
      </c>
      <c r="BK41">
        <f t="shared" ca="1" si="61"/>
        <v>127683.25864652803</v>
      </c>
      <c r="BL41">
        <f t="shared" ca="1" si="61"/>
        <v>97039.27657136129</v>
      </c>
      <c r="BM41">
        <f t="shared" ca="1" si="61"/>
        <v>73749.850194234576</v>
      </c>
      <c r="BN41">
        <f t="shared" ca="1" si="61"/>
        <v>56049.886147618265</v>
      </c>
      <c r="BO41">
        <f t="shared" ca="1" si="61"/>
        <v>42597.913472189874</v>
      </c>
      <c r="BP41">
        <f t="shared" ca="1" si="61"/>
        <v>32374.414238864301</v>
      </c>
      <c r="BQ41">
        <f t="shared" ca="1" si="25"/>
        <v>0.76800000000000035</v>
      </c>
      <c r="BR41">
        <f t="shared" ca="1" si="26"/>
        <v>2.125824000000001</v>
      </c>
      <c r="BS41">
        <f t="shared" ca="1" si="27"/>
        <v>4.5264568320000036</v>
      </c>
      <c r="BT41">
        <f t="shared" ca="1" si="28"/>
        <v>3.2001071923200017</v>
      </c>
      <c r="BU41">
        <f t="shared" ca="1" si="29"/>
        <v>2.1920814661632009</v>
      </c>
      <c r="BV41">
        <f t="shared" ca="1" si="30"/>
        <v>1.4259819142840322</v>
      </c>
      <c r="BW41">
        <f t="shared" ca="1" si="31"/>
        <v>0.84374625485586441</v>
      </c>
      <c r="BX41">
        <f t="shared" ca="1" si="32"/>
        <v>0.4012471536904566</v>
      </c>
      <c r="BY41">
        <f t="shared" ca="1" si="33"/>
        <v>6.4947836804746834E-2</v>
      </c>
    </row>
    <row r="42" spans="1:77" x14ac:dyDescent="0.25">
      <c r="A42" s="74"/>
      <c r="B42" s="74"/>
      <c r="C42" s="194">
        <f t="shared" si="0"/>
        <v>0.86400000000000043</v>
      </c>
      <c r="D42" s="196">
        <f t="shared" si="41"/>
        <v>-0.27000000000000013</v>
      </c>
      <c r="E42" s="193">
        <f t="shared" ca="1" si="9"/>
        <v>-0.28451959377224284</v>
      </c>
      <c r="F42" s="307"/>
      <c r="G42" s="232">
        <f t="shared" si="1"/>
        <v>26</v>
      </c>
      <c r="H42" s="182">
        <f t="shared" ca="1" si="10"/>
        <v>103216.28318672608</v>
      </c>
      <c r="I42" s="183" t="str">
        <f t="shared" ca="1" si="2"/>
        <v>WIN</v>
      </c>
      <c r="J42" s="184">
        <f t="shared" ca="1" si="3"/>
        <v>12385.953982407129</v>
      </c>
      <c r="K42" s="185">
        <f t="shared" ca="1" si="11"/>
        <v>0.12</v>
      </c>
      <c r="L42" s="182">
        <f t="shared" ca="1" si="4"/>
        <v>115602.23716913321</v>
      </c>
      <c r="M42" s="182">
        <f ca="1">IF($M$14="non-compounding",SUM($J$17:J42)+$C$3,IFERROR(IF(I42="win",(M41*(1-$C$10)),(M41*(1-$C$11)))+L42,""))</f>
        <v>159837.78710630152</v>
      </c>
      <c r="N42" s="186">
        <f t="shared" ca="1" si="5"/>
        <v>0.59837787106301521</v>
      </c>
      <c r="O42" s="74"/>
      <c r="Q42">
        <f t="shared" si="6"/>
        <v>26</v>
      </c>
      <c r="R42">
        <f t="shared" ca="1" si="12"/>
        <v>0.12</v>
      </c>
      <c r="S42">
        <v>26</v>
      </c>
      <c r="T42">
        <f t="shared" ca="1" si="13"/>
        <v>0.15</v>
      </c>
      <c r="U42">
        <f t="shared" ca="1" si="7"/>
        <v>0.12</v>
      </c>
      <c r="V42">
        <f ca="1">COUNTIF($U$17:U41,$C$8)</f>
        <v>8</v>
      </c>
      <c r="W42">
        <f ca="1">COUNTIF($U$17:U41,$C$9)</f>
        <v>17</v>
      </c>
      <c r="AC42">
        <f t="shared" ca="1" si="16"/>
        <v>0.15</v>
      </c>
      <c r="AD42">
        <f ca="1">COUNTIF($AC$17:AC41,$D$8)</f>
        <v>9</v>
      </c>
      <c r="AE42">
        <f ca="1">COUNTIF($AC$17:AC41,$D$9)</f>
        <v>16</v>
      </c>
      <c r="AF42">
        <f t="shared" ca="1" si="17"/>
        <v>52207.675084555201</v>
      </c>
      <c r="AG42">
        <f t="shared" ca="1" si="34"/>
        <v>7831.15126268328</v>
      </c>
      <c r="AH42">
        <f t="shared" ca="1" si="19"/>
        <v>0.15</v>
      </c>
      <c r="AI42">
        <f t="shared" ca="1" si="18"/>
        <v>60038.826347238479</v>
      </c>
      <c r="AJ42" s="60">
        <f ca="1">IF($M$14="non-compounding",SUM($AG$17:AG42)+$C$3,IFERROR(IF(AH42&gt;0,(AJ41*(1-$D$10)),(AJ41*(1-$D$11)))+AI42,""))</f>
        <v>138350.33897407126</v>
      </c>
      <c r="AM42">
        <f t="shared" ref="AM42:AV42" si="68">IF(AM$17&gt;ROUND($B$15*$AL$17,0),$D40,$C40)</f>
        <v>0.80000000000000038</v>
      </c>
      <c r="AN42">
        <f t="shared" si="68"/>
        <v>0.80000000000000038</v>
      </c>
      <c r="AO42">
        <f t="shared" si="68"/>
        <v>0.80000000000000038</v>
      </c>
      <c r="AP42">
        <f t="shared" si="68"/>
        <v>-0.25000000000000011</v>
      </c>
      <c r="AQ42">
        <f t="shared" si="68"/>
        <v>-0.25000000000000011</v>
      </c>
      <c r="AR42">
        <f t="shared" si="68"/>
        <v>-0.25000000000000011</v>
      </c>
      <c r="AS42">
        <f t="shared" si="68"/>
        <v>-0.25000000000000011</v>
      </c>
      <c r="AT42">
        <f t="shared" si="68"/>
        <v>-0.25000000000000011</v>
      </c>
      <c r="AU42">
        <f t="shared" si="68"/>
        <v>-0.25000000000000011</v>
      </c>
      <c r="AV42">
        <f t="shared" si="68"/>
        <v>-0.25000000000000011</v>
      </c>
      <c r="AW42">
        <f t="shared" ca="1" si="21"/>
        <v>32000.000000000015</v>
      </c>
      <c r="AX42">
        <f t="shared" ca="1" si="52"/>
        <v>57600.000000000036</v>
      </c>
      <c r="AY42">
        <f t="shared" ca="1" si="53"/>
        <v>103680.0000000001</v>
      </c>
      <c r="AZ42">
        <f t="shared" ca="1" si="54"/>
        <v>-58320.000000000073</v>
      </c>
      <c r="BA42">
        <f t="shared" ca="1" si="55"/>
        <v>-43740.000000000051</v>
      </c>
      <c r="BB42">
        <f t="shared" ca="1" si="56"/>
        <v>-32805.000000000029</v>
      </c>
      <c r="BC42">
        <f t="shared" ca="1" si="57"/>
        <v>-24603.750000000018</v>
      </c>
      <c r="BD42">
        <f t="shared" ca="1" si="58"/>
        <v>-18452.812500000011</v>
      </c>
      <c r="BE42">
        <f t="shared" ca="1" si="59"/>
        <v>-13839.609375000005</v>
      </c>
      <c r="BF42">
        <f t="shared" ca="1" si="60"/>
        <v>-10379.707031250004</v>
      </c>
      <c r="BG42">
        <f t="shared" ca="1" si="23"/>
        <v>72000.000000000015</v>
      </c>
      <c r="BH42">
        <f t="shared" ca="1" si="61"/>
        <v>129600.00000000006</v>
      </c>
      <c r="BI42">
        <f t="shared" ca="1" si="61"/>
        <v>233280.00000000017</v>
      </c>
      <c r="BJ42">
        <f t="shared" ca="1" si="61"/>
        <v>174960.00000000012</v>
      </c>
      <c r="BK42">
        <f t="shared" ca="1" si="61"/>
        <v>131220.00000000006</v>
      </c>
      <c r="BL42">
        <f t="shared" ca="1" si="61"/>
        <v>98415.000000000029</v>
      </c>
      <c r="BM42">
        <f t="shared" ca="1" si="61"/>
        <v>73811.250000000015</v>
      </c>
      <c r="BN42">
        <f t="shared" ca="1" si="61"/>
        <v>55358.4375</v>
      </c>
      <c r="BO42">
        <f t="shared" ca="1" si="61"/>
        <v>41518.828124999993</v>
      </c>
      <c r="BP42">
        <f t="shared" ca="1" si="61"/>
        <v>31139.121093749989</v>
      </c>
      <c r="BQ42">
        <f t="shared" ca="1" si="25"/>
        <v>0.80000000000000038</v>
      </c>
      <c r="BR42">
        <f t="shared" ca="1" si="26"/>
        <v>2.2400000000000015</v>
      </c>
      <c r="BS42">
        <f t="shared" ca="1" si="27"/>
        <v>4.8320000000000043</v>
      </c>
      <c r="BT42">
        <f t="shared" ca="1" si="28"/>
        <v>3.3740000000000028</v>
      </c>
      <c r="BU42">
        <f t="shared" ca="1" si="29"/>
        <v>2.2805000000000013</v>
      </c>
      <c r="BV42">
        <f t="shared" ca="1" si="30"/>
        <v>1.4603750000000006</v>
      </c>
      <c r="BW42">
        <f t="shared" ca="1" si="31"/>
        <v>0.84528125000000032</v>
      </c>
      <c r="BX42">
        <f t="shared" ca="1" si="32"/>
        <v>0.38396093749999999</v>
      </c>
      <c r="BY42">
        <f t="shared" ca="1" si="33"/>
        <v>3.7970703124999818E-2</v>
      </c>
    </row>
    <row r="43" spans="1:77" x14ac:dyDescent="0.25">
      <c r="A43" s="74"/>
      <c r="B43" s="74"/>
      <c r="C43" s="194">
        <f t="shared" si="0"/>
        <v>0.89600000000000046</v>
      </c>
      <c r="D43" s="196">
        <f t="shared" si="41"/>
        <v>-0.28000000000000014</v>
      </c>
      <c r="E43" s="193">
        <f t="shared" ca="1" si="9"/>
        <v>-0.31633637408987653</v>
      </c>
      <c r="F43" s="307"/>
      <c r="G43" s="232">
        <f t="shared" si="1"/>
        <v>27</v>
      </c>
      <c r="H43" s="182">
        <f t="shared" ca="1" si="10"/>
        <v>111886.45097441105</v>
      </c>
      <c r="I43" s="183" t="str">
        <f t="shared" ca="1" si="2"/>
        <v>WIN</v>
      </c>
      <c r="J43" s="184">
        <f t="shared" ca="1" si="3"/>
        <v>13426.374116929326</v>
      </c>
      <c r="K43" s="185">
        <f t="shared" ca="1" si="11"/>
        <v>0.12</v>
      </c>
      <c r="L43" s="182">
        <f t="shared" ca="1" si="4"/>
        <v>125312.82509134038</v>
      </c>
      <c r="M43" s="182">
        <f ca="1">IF($M$14="non-compounding",SUM($J$17:J43)+$C$3,IFERROR(IF(I43="win",(M42*(1-$C$10)),(M42*(1-$C$11)))+L43,""))</f>
        <v>173264.16122323083</v>
      </c>
      <c r="N43" s="186">
        <f t="shared" ca="1" si="5"/>
        <v>0.73264161223230828</v>
      </c>
      <c r="O43" s="74"/>
      <c r="Q43">
        <f t="shared" si="6"/>
        <v>27</v>
      </c>
      <c r="R43">
        <f t="shared" ca="1" si="12"/>
        <v>0.12</v>
      </c>
      <c r="S43">
        <v>27</v>
      </c>
      <c r="T43">
        <f t="shared" ca="1" si="13"/>
        <v>0.15</v>
      </c>
      <c r="U43">
        <f t="shared" ca="1" si="7"/>
        <v>0.12</v>
      </c>
      <c r="V43">
        <f ca="1">COUNTIF($U$17:U42,$C$8)</f>
        <v>9</v>
      </c>
      <c r="W43">
        <f ca="1">COUNTIF($U$17:U42,$C$9)</f>
        <v>17</v>
      </c>
      <c r="AC43">
        <f t="shared" ca="1" si="16"/>
        <v>0.15</v>
      </c>
      <c r="AD43">
        <f ca="1">COUNTIF($AC$17:AC42,$D$8)</f>
        <v>10</v>
      </c>
      <c r="AE43">
        <f ca="1">COUNTIF($AC$17:AC42,$D$9)</f>
        <v>16</v>
      </c>
      <c r="AF43">
        <f t="shared" ca="1" si="17"/>
        <v>55340.135589628509</v>
      </c>
      <c r="AG43">
        <f t="shared" ca="1" si="34"/>
        <v>8301.0203384442757</v>
      </c>
      <c r="AH43">
        <f t="shared" ca="1" si="19"/>
        <v>0.15</v>
      </c>
      <c r="AI43">
        <f t="shared" ca="1" si="18"/>
        <v>63641.155928072782</v>
      </c>
      <c r="AJ43" s="60">
        <f ca="1">IF($M$14="non-compounding",SUM($AG$17:AG43)+$C$3,IFERROR(IF(AH43&gt;0,(AJ42*(1-$D$10)),(AJ42*(1-$D$11)))+AI43,""))</f>
        <v>146651.35931251553</v>
      </c>
      <c r="AM43">
        <f t="shared" ref="AM43:AV43" si="69">IF(AM$17&gt;ROUND($B$15*$AL$17,0),$D41,$C41)</f>
        <v>0.83200000000000041</v>
      </c>
      <c r="AN43">
        <f t="shared" si="69"/>
        <v>0.83200000000000041</v>
      </c>
      <c r="AO43">
        <f t="shared" si="69"/>
        <v>0.83200000000000041</v>
      </c>
      <c r="AP43">
        <f t="shared" si="69"/>
        <v>-0.26000000000000012</v>
      </c>
      <c r="AQ43">
        <f t="shared" si="69"/>
        <v>-0.26000000000000012</v>
      </c>
      <c r="AR43">
        <f t="shared" si="69"/>
        <v>-0.26000000000000012</v>
      </c>
      <c r="AS43">
        <f t="shared" si="69"/>
        <v>-0.26000000000000012</v>
      </c>
      <c r="AT43">
        <f t="shared" si="69"/>
        <v>-0.26000000000000012</v>
      </c>
      <c r="AU43">
        <f t="shared" si="69"/>
        <v>-0.26000000000000012</v>
      </c>
      <c r="AV43">
        <f t="shared" si="69"/>
        <v>-0.26000000000000012</v>
      </c>
      <c r="AW43">
        <f t="shared" ca="1" si="21"/>
        <v>33280.000000000015</v>
      </c>
      <c r="AX43">
        <f t="shared" ca="1" si="52"/>
        <v>60968.960000000043</v>
      </c>
      <c r="AY43">
        <f t="shared" ca="1" si="53"/>
        <v>111695.13472000009</v>
      </c>
      <c r="AZ43">
        <f t="shared" ca="1" si="54"/>
        <v>-63945.464627200068</v>
      </c>
      <c r="BA43">
        <f t="shared" ca="1" si="55"/>
        <v>-47319.643824128041</v>
      </c>
      <c r="BB43">
        <f t="shared" ca="1" si="56"/>
        <v>-35016.53642985475</v>
      </c>
      <c r="BC43">
        <f t="shared" ca="1" si="57"/>
        <v>-25912.236958092508</v>
      </c>
      <c r="BD43">
        <f t="shared" ca="1" si="58"/>
        <v>-19175.055348988451</v>
      </c>
      <c r="BE43">
        <f t="shared" ca="1" si="59"/>
        <v>-14189.540958251453</v>
      </c>
      <c r="BF43">
        <f t="shared" ca="1" si="60"/>
        <v>-10500.260309106072</v>
      </c>
      <c r="BG43">
        <f t="shared" ca="1" si="23"/>
        <v>73280.000000000015</v>
      </c>
      <c r="BH43">
        <f t="shared" ca="1" si="61"/>
        <v>134248.96000000005</v>
      </c>
      <c r="BI43">
        <f t="shared" ca="1" si="61"/>
        <v>245944.09472000014</v>
      </c>
      <c r="BJ43">
        <f t="shared" ca="1" si="61"/>
        <v>181998.63009280007</v>
      </c>
      <c r="BK43">
        <f t="shared" ca="1" si="61"/>
        <v>134678.98626867204</v>
      </c>
      <c r="BL43">
        <f t="shared" ca="1" si="61"/>
        <v>99662.449838817294</v>
      </c>
      <c r="BM43">
        <f t="shared" ca="1" si="61"/>
        <v>73750.212880724779</v>
      </c>
      <c r="BN43">
        <f t="shared" ca="1" si="61"/>
        <v>54575.157531736331</v>
      </c>
      <c r="BO43">
        <f t="shared" ca="1" si="61"/>
        <v>40385.616573484876</v>
      </c>
      <c r="BP43">
        <f t="shared" ca="1" si="61"/>
        <v>29885.356264378803</v>
      </c>
      <c r="BQ43">
        <f t="shared" ca="1" si="25"/>
        <v>0.83200000000000041</v>
      </c>
      <c r="BR43">
        <f t="shared" ca="1" si="26"/>
        <v>2.3562240000000014</v>
      </c>
      <c r="BS43">
        <f t="shared" ca="1" si="27"/>
        <v>5.1486023680000033</v>
      </c>
      <c r="BT43">
        <f t="shared" ca="1" si="28"/>
        <v>3.5499657523200017</v>
      </c>
      <c r="BU43">
        <f t="shared" ca="1" si="29"/>
        <v>2.3669746567168013</v>
      </c>
      <c r="BV43">
        <f t="shared" ca="1" si="30"/>
        <v>1.4915612459704324</v>
      </c>
      <c r="BW43">
        <f t="shared" ca="1" si="31"/>
        <v>0.84375532201811942</v>
      </c>
      <c r="BX43">
        <f t="shared" ca="1" si="32"/>
        <v>0.36437893829340828</v>
      </c>
      <c r="BY43">
        <f t="shared" ca="1" si="33"/>
        <v>9.6404143371219102E-3</v>
      </c>
    </row>
    <row r="44" spans="1:77" x14ac:dyDescent="0.25">
      <c r="A44" s="74"/>
      <c r="B44" s="74"/>
      <c r="C44" s="194">
        <f t="shared" si="0"/>
        <v>0.92800000000000049</v>
      </c>
      <c r="D44" s="196">
        <f t="shared" si="41"/>
        <v>-0.29000000000000015</v>
      </c>
      <c r="E44" s="193">
        <f t="shared" ca="1" si="9"/>
        <v>-0.34817722667724155</v>
      </c>
      <c r="F44" s="307"/>
      <c r="G44" s="232">
        <f t="shared" si="1"/>
        <v>28</v>
      </c>
      <c r="H44" s="182">
        <f t="shared" ca="1" si="10"/>
        <v>69305.664489292336</v>
      </c>
      <c r="I44" s="183" t="str">
        <f t="shared" ca="1" si="2"/>
        <v>LOSS</v>
      </c>
      <c r="J44" s="184">
        <f t="shared" ca="1" si="3"/>
        <v>-2598.9624183484625</v>
      </c>
      <c r="K44" s="185">
        <f t="shared" ca="1" si="11"/>
        <v>-3.7499999999999999E-2</v>
      </c>
      <c r="L44" s="182">
        <f t="shared" ca="1" si="4"/>
        <v>66706.70207094388</v>
      </c>
      <c r="M44" s="182">
        <f ca="1">IF($M$14="non-compounding",SUM($J$17:J44)+$C$3,IFERROR(IF(I44="win",(M43*(1-$C$10)),(M43*(1-$C$11)))+L44,""))</f>
        <v>170665.19880488236</v>
      </c>
      <c r="N44" s="186">
        <f t="shared" ca="1" si="5"/>
        <v>0.70665198804882356</v>
      </c>
      <c r="O44" s="74"/>
      <c r="Q44">
        <f t="shared" si="6"/>
        <v>28</v>
      </c>
      <c r="R44">
        <f t="shared" ca="1" si="12"/>
        <v>-3.7499999999999999E-2</v>
      </c>
      <c r="S44">
        <v>28</v>
      </c>
      <c r="T44">
        <f t="shared" ca="1" si="13"/>
        <v>-0.04</v>
      </c>
      <c r="U44">
        <f t="shared" ca="1" si="7"/>
        <v>-3.7499999999999999E-2</v>
      </c>
      <c r="V44">
        <f ca="1">COUNTIF($U$17:U43,$C$8)</f>
        <v>10</v>
      </c>
      <c r="W44">
        <f ca="1">COUNTIF($U$17:U43,$C$9)</f>
        <v>17</v>
      </c>
      <c r="AC44">
        <f t="shared" ca="1" si="16"/>
        <v>-0.04</v>
      </c>
      <c r="AD44">
        <f ca="1">COUNTIF($AC$17:AC43,$D$8)</f>
        <v>11</v>
      </c>
      <c r="AE44">
        <f ca="1">COUNTIF($AC$17:AC43,$D$9)</f>
        <v>16</v>
      </c>
      <c r="AF44">
        <f t="shared" ca="1" si="17"/>
        <v>58660.543725006217</v>
      </c>
      <c r="AG44">
        <f t="shared" ca="1" si="34"/>
        <v>-2346.4217490002488</v>
      </c>
      <c r="AH44">
        <f t="shared" ca="1" si="19"/>
        <v>-0.04</v>
      </c>
      <c r="AI44">
        <f t="shared" ca="1" si="18"/>
        <v>56314.121976005968</v>
      </c>
      <c r="AJ44" s="60">
        <f ca="1">IF($M$14="non-compounding",SUM($AG$17:AG44)+$C$3,IFERROR(IF(AH44&gt;0,(AJ43*(1-$D$10)),(AJ43*(1-$D$11)))+AI44,""))</f>
        <v>144304.9375635153</v>
      </c>
      <c r="AM44">
        <f t="shared" ref="AM44:AV44" si="70">IF(AM$17&gt;ROUND($B$15*$AL$17,0),$D42,$C42)</f>
        <v>0.86400000000000043</v>
      </c>
      <c r="AN44">
        <f t="shared" si="70"/>
        <v>0.86400000000000043</v>
      </c>
      <c r="AO44">
        <f t="shared" si="70"/>
        <v>0.86400000000000043</v>
      </c>
      <c r="AP44">
        <f t="shared" si="70"/>
        <v>-0.27000000000000013</v>
      </c>
      <c r="AQ44">
        <f t="shared" si="70"/>
        <v>-0.27000000000000013</v>
      </c>
      <c r="AR44">
        <f t="shared" si="70"/>
        <v>-0.27000000000000013</v>
      </c>
      <c r="AS44">
        <f t="shared" si="70"/>
        <v>-0.27000000000000013</v>
      </c>
      <c r="AT44">
        <f t="shared" si="70"/>
        <v>-0.27000000000000013</v>
      </c>
      <c r="AU44">
        <f t="shared" si="70"/>
        <v>-0.27000000000000013</v>
      </c>
      <c r="AV44">
        <f t="shared" si="70"/>
        <v>-0.27000000000000013</v>
      </c>
      <c r="AW44">
        <f t="shared" ca="1" si="21"/>
        <v>34560.000000000015</v>
      </c>
      <c r="AX44">
        <f t="shared" ca="1" si="52"/>
        <v>64419.840000000047</v>
      </c>
      <c r="AY44">
        <f t="shared" ca="1" si="53"/>
        <v>120078.5817600001</v>
      </c>
      <c r="AZ44">
        <f t="shared" ca="1" si="54"/>
        <v>-69945.773875200073</v>
      </c>
      <c r="BA44">
        <f t="shared" ca="1" si="55"/>
        <v>-51060.414928896054</v>
      </c>
      <c r="BB44">
        <f t="shared" ca="1" si="56"/>
        <v>-37274.102898094105</v>
      </c>
      <c r="BC44">
        <f t="shared" ca="1" si="57"/>
        <v>-27210.095115608696</v>
      </c>
      <c r="BD44">
        <f t="shared" ca="1" si="58"/>
        <v>-19863.369434394343</v>
      </c>
      <c r="BE44">
        <f t="shared" ca="1" si="59"/>
        <v>-14500.259687107868</v>
      </c>
      <c r="BF44">
        <f t="shared" ca="1" si="60"/>
        <v>-10585.189571588744</v>
      </c>
      <c r="BG44">
        <f t="shared" ca="1" si="23"/>
        <v>74560.000000000015</v>
      </c>
      <c r="BH44">
        <f t="shared" ca="1" si="61"/>
        <v>138979.84000000005</v>
      </c>
      <c r="BI44">
        <f t="shared" ca="1" si="61"/>
        <v>259058.42176000017</v>
      </c>
      <c r="BJ44">
        <f t="shared" ca="1" si="61"/>
        <v>189112.6478848001</v>
      </c>
      <c r="BK44">
        <f t="shared" ca="1" si="61"/>
        <v>138052.23295590404</v>
      </c>
      <c r="BL44">
        <f t="shared" ca="1" si="61"/>
        <v>100778.13005780993</v>
      </c>
      <c r="BM44">
        <f t="shared" ca="1" si="61"/>
        <v>73568.034942201237</v>
      </c>
      <c r="BN44">
        <f t="shared" ca="1" si="61"/>
        <v>53704.665507806894</v>
      </c>
      <c r="BO44">
        <f t="shared" ca="1" si="61"/>
        <v>39204.40582069903</v>
      </c>
      <c r="BP44">
        <f t="shared" ca="1" si="61"/>
        <v>28619.216249110286</v>
      </c>
      <c r="BQ44">
        <f t="shared" ca="1" si="25"/>
        <v>0.86400000000000032</v>
      </c>
      <c r="BR44">
        <f t="shared" ca="1" si="26"/>
        <v>2.4744960000000016</v>
      </c>
      <c r="BS44">
        <f t="shared" ca="1" si="27"/>
        <v>5.4764605440000045</v>
      </c>
      <c r="BT44">
        <f t="shared" ca="1" si="28"/>
        <v>3.7278161971200023</v>
      </c>
      <c r="BU44">
        <f t="shared" ca="1" si="29"/>
        <v>2.4513058238976009</v>
      </c>
      <c r="BV44">
        <f t="shared" ca="1" si="30"/>
        <v>1.5194532514452483</v>
      </c>
      <c r="BW44">
        <f t="shared" ca="1" si="31"/>
        <v>0.83920087355503092</v>
      </c>
      <c r="BX44">
        <f t="shared" ca="1" si="32"/>
        <v>0.34261663769517237</v>
      </c>
      <c r="BY44">
        <f t="shared" ca="1" si="33"/>
        <v>-1.9889854482524241E-2</v>
      </c>
    </row>
    <row r="45" spans="1:77" x14ac:dyDescent="0.25">
      <c r="A45" s="74"/>
      <c r="B45" s="74"/>
      <c r="C45" s="197">
        <f t="shared" si="0"/>
        <v>0.96000000000000052</v>
      </c>
      <c r="D45" s="198">
        <f t="shared" si="41"/>
        <v>-0.30000000000000016</v>
      </c>
      <c r="E45" s="193">
        <f t="shared" ca="1" si="9"/>
        <v>-0.37991033339520053</v>
      </c>
      <c r="F45" s="307"/>
      <c r="G45" s="232">
        <f t="shared" si="1"/>
        <v>29</v>
      </c>
      <c r="H45" s="182">
        <f t="shared" ca="1" si="10"/>
        <v>119465.63916341764</v>
      </c>
      <c r="I45" s="183" t="str">
        <f t="shared" ca="1" si="2"/>
        <v>WIN</v>
      </c>
      <c r="J45" s="184">
        <f t="shared" ca="1" si="3"/>
        <v>14335.876699610117</v>
      </c>
      <c r="K45" s="185">
        <f t="shared" ca="1" si="11"/>
        <v>0.12</v>
      </c>
      <c r="L45" s="182">
        <f t="shared" ca="1" si="4"/>
        <v>133801.51586302774</v>
      </c>
      <c r="M45" s="182">
        <f ca="1">IF($M$14="non-compounding",SUM($J$17:J45)+$C$3,IFERROR(IF(I45="win",(M44*(1-$C$10)),(M44*(1-$C$11)))+L45,""))</f>
        <v>185001.07550449244</v>
      </c>
      <c r="N45" s="186">
        <f t="shared" ca="1" si="5"/>
        <v>0.8500107550449244</v>
      </c>
      <c r="O45" s="74"/>
      <c r="Q45">
        <f t="shared" si="6"/>
        <v>29</v>
      </c>
      <c r="R45">
        <f t="shared" ca="1" si="12"/>
        <v>0.12</v>
      </c>
      <c r="S45">
        <v>29</v>
      </c>
      <c r="T45">
        <f t="shared" ca="1" si="13"/>
        <v>-0.04</v>
      </c>
      <c r="U45">
        <f t="shared" ca="1" si="7"/>
        <v>0.12</v>
      </c>
      <c r="V45">
        <f ca="1">COUNTIF($U$17:U44,$C$8)</f>
        <v>10</v>
      </c>
      <c r="W45">
        <f ca="1">COUNTIF($U$17:U44,$C$9)</f>
        <v>18</v>
      </c>
      <c r="AC45">
        <f t="shared" ca="1" si="16"/>
        <v>-0.04</v>
      </c>
      <c r="AD45">
        <f ca="1">COUNTIF($AC$17:AC44,$D$8)</f>
        <v>11</v>
      </c>
      <c r="AE45">
        <f ca="1">COUNTIF($AC$17:AC44,$D$9)</f>
        <v>17</v>
      </c>
      <c r="AF45">
        <f t="shared" ca="1" si="17"/>
        <v>57721.975025406122</v>
      </c>
      <c r="AG45">
        <f t="shared" ca="1" si="34"/>
        <v>-2308.8790010162447</v>
      </c>
      <c r="AH45">
        <f t="shared" ca="1" si="19"/>
        <v>-0.04</v>
      </c>
      <c r="AI45">
        <f t="shared" ca="1" si="18"/>
        <v>55413.096024389873</v>
      </c>
      <c r="AJ45" s="60">
        <f ca="1">IF($M$14="non-compounding",SUM($AG$17:AG45)+$C$3,IFERROR(IF(AH45&gt;0,(AJ44*(1-$D$10)),(AJ44*(1-$D$11)))+AI45,""))</f>
        <v>141996.05856249906</v>
      </c>
      <c r="AM45">
        <f t="shared" ref="AM45:AV45" si="71">IF(AM$17&gt;ROUND($B$15*$AL$17,0),$D43,$C43)</f>
        <v>0.89600000000000046</v>
      </c>
      <c r="AN45">
        <f t="shared" si="71"/>
        <v>0.89600000000000046</v>
      </c>
      <c r="AO45">
        <f t="shared" si="71"/>
        <v>0.89600000000000046</v>
      </c>
      <c r="AP45">
        <f t="shared" si="71"/>
        <v>-0.28000000000000014</v>
      </c>
      <c r="AQ45">
        <f t="shared" si="71"/>
        <v>-0.28000000000000014</v>
      </c>
      <c r="AR45">
        <f t="shared" si="71"/>
        <v>-0.28000000000000014</v>
      </c>
      <c r="AS45">
        <f t="shared" si="71"/>
        <v>-0.28000000000000014</v>
      </c>
      <c r="AT45">
        <f t="shared" si="71"/>
        <v>-0.28000000000000014</v>
      </c>
      <c r="AU45">
        <f t="shared" si="71"/>
        <v>-0.28000000000000014</v>
      </c>
      <c r="AV45">
        <f t="shared" si="71"/>
        <v>-0.28000000000000014</v>
      </c>
      <c r="AW45">
        <f t="shared" ca="1" si="21"/>
        <v>35840.000000000022</v>
      </c>
      <c r="AX45">
        <f t="shared" ca="1" si="52"/>
        <v>67952.640000000058</v>
      </c>
      <c r="AY45">
        <f t="shared" ca="1" si="53"/>
        <v>128838.20544000014</v>
      </c>
      <c r="AZ45">
        <f t="shared" ca="1" si="54"/>
        <v>-76336.636723200092</v>
      </c>
      <c r="BA45">
        <f t="shared" ca="1" si="55"/>
        <v>-54962.378440704051</v>
      </c>
      <c r="BB45">
        <f t="shared" ca="1" si="56"/>
        <v>-39572.912477306912</v>
      </c>
      <c r="BC45">
        <f t="shared" ca="1" si="57"/>
        <v>-28492.496983660971</v>
      </c>
      <c r="BD45">
        <f t="shared" ca="1" si="58"/>
        <v>-20514.597828235896</v>
      </c>
      <c r="BE45">
        <f t="shared" ca="1" si="59"/>
        <v>-14770.510436329841</v>
      </c>
      <c r="BF45">
        <f t="shared" ca="1" si="60"/>
        <v>-10634.767514157482</v>
      </c>
      <c r="BG45">
        <f t="shared" ca="1" si="23"/>
        <v>75840.000000000029</v>
      </c>
      <c r="BH45">
        <f t="shared" ca="1" si="61"/>
        <v>143792.64000000007</v>
      </c>
      <c r="BI45">
        <f t="shared" ca="1" si="61"/>
        <v>272630.84544000018</v>
      </c>
      <c r="BJ45">
        <f t="shared" ca="1" si="61"/>
        <v>196294.20871680009</v>
      </c>
      <c r="BK45">
        <f t="shared" ca="1" si="61"/>
        <v>141331.83027609604</v>
      </c>
      <c r="BL45">
        <f t="shared" ca="1" si="61"/>
        <v>101758.91779878913</v>
      </c>
      <c r="BM45">
        <f t="shared" ca="1" si="61"/>
        <v>73266.420815128164</v>
      </c>
      <c r="BN45">
        <f t="shared" ca="1" si="61"/>
        <v>52751.822986892264</v>
      </c>
      <c r="BO45">
        <f t="shared" ca="1" si="61"/>
        <v>37981.312550562419</v>
      </c>
      <c r="BP45">
        <f t="shared" ca="1" si="61"/>
        <v>27346.545036404939</v>
      </c>
      <c r="BQ45">
        <f t="shared" ca="1" si="25"/>
        <v>0.89600000000000068</v>
      </c>
      <c r="BR45">
        <f t="shared" ca="1" si="26"/>
        <v>2.594816000000002</v>
      </c>
      <c r="BS45">
        <f t="shared" ca="1" si="27"/>
        <v>5.8157711360000048</v>
      </c>
      <c r="BT45">
        <f t="shared" ca="1" si="28"/>
        <v>3.9073552179200024</v>
      </c>
      <c r="BU45">
        <f t="shared" ca="1" si="29"/>
        <v>2.5332957569024011</v>
      </c>
      <c r="BV45">
        <f t="shared" ca="1" si="30"/>
        <v>1.5439729449697284</v>
      </c>
      <c r="BW45">
        <f t="shared" ca="1" si="31"/>
        <v>0.83166052037820404</v>
      </c>
      <c r="BX45">
        <f t="shared" ca="1" si="32"/>
        <v>0.31879557467230663</v>
      </c>
      <c r="BY45">
        <f t="shared" ca="1" si="33"/>
        <v>-5.0467186235939515E-2</v>
      </c>
    </row>
    <row r="46" spans="1:77" x14ac:dyDescent="0.25">
      <c r="A46" s="74"/>
      <c r="B46" s="74"/>
      <c r="C46" s="76"/>
      <c r="D46" s="76"/>
      <c r="E46" s="76"/>
      <c r="F46" s="224"/>
      <c r="G46" s="232">
        <f t="shared" si="1"/>
        <v>30</v>
      </c>
      <c r="H46" s="182">
        <f t="shared" ca="1" si="10"/>
        <v>74000.430201796975</v>
      </c>
      <c r="I46" s="183" t="str">
        <f t="shared" ca="1" si="2"/>
        <v>LOSS</v>
      </c>
      <c r="J46" s="184">
        <f t="shared" ca="1" si="3"/>
        <v>-2775.0161325673866</v>
      </c>
      <c r="K46" s="185">
        <f t="shared" ca="1" si="11"/>
        <v>-3.7499999999999999E-2</v>
      </c>
      <c r="L46" s="182">
        <f t="shared" ca="1" si="4"/>
        <v>71225.414069229591</v>
      </c>
      <c r="M46" s="182">
        <f ca="1">IF($M$14="non-compounding",SUM($J$17:J46)+$C$3,IFERROR(IF(I46="win",(M45*(1-$C$10)),(M45*(1-$C$11)))+L46,""))</f>
        <v>182226.05937192508</v>
      </c>
      <c r="N46" s="186">
        <f t="shared" ca="1" si="5"/>
        <v>0.82226059371925075</v>
      </c>
      <c r="O46" s="74"/>
      <c r="Q46">
        <f t="shared" si="6"/>
        <v>30</v>
      </c>
      <c r="R46">
        <f t="shared" ca="1" si="12"/>
        <v>-3.7499999999999999E-2</v>
      </c>
      <c r="S46">
        <v>30</v>
      </c>
      <c r="T46">
        <f t="shared" ca="1" si="13"/>
        <v>-0.04</v>
      </c>
      <c r="U46">
        <f t="shared" ca="1" si="7"/>
        <v>-3.7499999999999999E-2</v>
      </c>
      <c r="V46">
        <f ca="1">COUNTIF($U$17:U45,$C$8)</f>
        <v>11</v>
      </c>
      <c r="W46">
        <f ca="1">COUNTIF($U$17:U45,$C$9)</f>
        <v>18</v>
      </c>
      <c r="AC46">
        <f t="shared" ca="1" si="16"/>
        <v>-0.04</v>
      </c>
      <c r="AD46">
        <f ca="1">COUNTIF($AC$17:AC45,$D$8)</f>
        <v>11</v>
      </c>
      <c r="AE46">
        <f ca="1">COUNTIF($AC$17:AC45,$D$9)</f>
        <v>18</v>
      </c>
      <c r="AF46">
        <f t="shared" ca="1" si="17"/>
        <v>56798.42342499963</v>
      </c>
      <c r="AG46">
        <f t="shared" ca="1" si="34"/>
        <v>-2271.9369369999854</v>
      </c>
      <c r="AH46">
        <f t="shared" ca="1" si="19"/>
        <v>-0.04</v>
      </c>
      <c r="AI46">
        <f t="shared" ca="1" si="18"/>
        <v>54526.486487999646</v>
      </c>
      <c r="AJ46" s="60">
        <f ca="1">IF($M$14="non-compounding",SUM($AG$17:AG46)+$C$3,IFERROR(IF(AH46&gt;0,(AJ45*(1-$D$10)),(AJ45*(1-$D$11)))+AI46,""))</f>
        <v>139724.1216254991</v>
      </c>
      <c r="AM46">
        <f t="shared" ref="AM46:AV46" si="72">IF(AM$17&gt;ROUND($B$15*$AL$17,0),$D44,$C44)</f>
        <v>0.92800000000000049</v>
      </c>
      <c r="AN46">
        <f t="shared" si="72"/>
        <v>0.92800000000000049</v>
      </c>
      <c r="AO46">
        <f t="shared" si="72"/>
        <v>0.92800000000000049</v>
      </c>
      <c r="AP46">
        <f t="shared" si="72"/>
        <v>-0.29000000000000015</v>
      </c>
      <c r="AQ46">
        <f t="shared" si="72"/>
        <v>-0.29000000000000015</v>
      </c>
      <c r="AR46">
        <f t="shared" si="72"/>
        <v>-0.29000000000000015</v>
      </c>
      <c r="AS46">
        <f t="shared" si="72"/>
        <v>-0.29000000000000015</v>
      </c>
      <c r="AT46">
        <f t="shared" si="72"/>
        <v>-0.29000000000000015</v>
      </c>
      <c r="AU46">
        <f t="shared" si="72"/>
        <v>-0.29000000000000015</v>
      </c>
      <c r="AV46">
        <f t="shared" si="72"/>
        <v>-0.29000000000000015</v>
      </c>
      <c r="AW46">
        <f t="shared" ca="1" si="21"/>
        <v>37120.000000000022</v>
      </c>
      <c r="AX46">
        <f t="shared" ca="1" si="52"/>
        <v>71567.360000000059</v>
      </c>
      <c r="AY46">
        <f t="shared" ca="1" si="53"/>
        <v>137981.87008000017</v>
      </c>
      <c r="AZ46">
        <f t="shared" ca="1" si="54"/>
        <v>-83134.076723200109</v>
      </c>
      <c r="BA46">
        <f t="shared" ca="1" si="55"/>
        <v>-59025.194473472075</v>
      </c>
      <c r="BB46">
        <f t="shared" ca="1" si="56"/>
        <v>-41907.88807616516</v>
      </c>
      <c r="BC46">
        <f t="shared" ca="1" si="57"/>
        <v>-29754.600534077257</v>
      </c>
      <c r="BD46">
        <f t="shared" ca="1" si="58"/>
        <v>-21125.766379194851</v>
      </c>
      <c r="BE46">
        <f t="shared" ca="1" si="59"/>
        <v>-14999.294129228339</v>
      </c>
      <c r="BF46">
        <f t="shared" ca="1" si="60"/>
        <v>-10649.498831752118</v>
      </c>
      <c r="BG46">
        <f t="shared" ca="1" si="23"/>
        <v>77120.000000000029</v>
      </c>
      <c r="BH46">
        <f t="shared" ca="1" si="61"/>
        <v>148687.3600000001</v>
      </c>
      <c r="BI46">
        <f t="shared" ca="1" si="61"/>
        <v>286669.23008000024</v>
      </c>
      <c r="BJ46">
        <f t="shared" ca="1" si="61"/>
        <v>203535.15335680015</v>
      </c>
      <c r="BK46">
        <f t="shared" ca="1" si="61"/>
        <v>144509.95888332807</v>
      </c>
      <c r="BL46">
        <f t="shared" ca="1" si="61"/>
        <v>102602.07080716291</v>
      </c>
      <c r="BM46">
        <f t="shared" ca="1" si="61"/>
        <v>72847.470273085652</v>
      </c>
      <c r="BN46">
        <f t="shared" ca="1" si="61"/>
        <v>51721.703893890801</v>
      </c>
      <c r="BO46">
        <f t="shared" ca="1" si="61"/>
        <v>36722.409764662458</v>
      </c>
      <c r="BP46">
        <f t="shared" ca="1" si="61"/>
        <v>26072.910932910338</v>
      </c>
      <c r="BQ46">
        <f t="shared" ca="1" si="25"/>
        <v>0.92800000000000071</v>
      </c>
      <c r="BR46">
        <f t="shared" ca="1" si="26"/>
        <v>2.7171840000000027</v>
      </c>
      <c r="BS46">
        <f t="shared" ca="1" si="27"/>
        <v>6.1667307520000056</v>
      </c>
      <c r="BT46">
        <f t="shared" ca="1" si="28"/>
        <v>4.0883788339200038</v>
      </c>
      <c r="BU46">
        <f t="shared" ca="1" si="29"/>
        <v>2.6127489720832018</v>
      </c>
      <c r="BV46">
        <f t="shared" ca="1" si="30"/>
        <v>1.5650517701790727</v>
      </c>
      <c r="BW46">
        <f t="shared" ca="1" si="31"/>
        <v>0.82118675682714126</v>
      </c>
      <c r="BX46">
        <f t="shared" ca="1" si="32"/>
        <v>0.29304259734727001</v>
      </c>
      <c r="BY46">
        <f t="shared" ca="1" si="33"/>
        <v>-8.1939755883438561E-2</v>
      </c>
    </row>
    <row r="47" spans="1:77" x14ac:dyDescent="0.25">
      <c r="A47" s="74"/>
      <c r="B47" s="74"/>
      <c r="C47" s="76"/>
      <c r="D47" s="76"/>
      <c r="E47" s="76"/>
      <c r="F47" s="224"/>
      <c r="G47" s="232">
        <f t="shared" si="1"/>
        <v>31</v>
      </c>
      <c r="H47" s="182">
        <f t="shared" ca="1" si="10"/>
        <v>72890.42374877003</v>
      </c>
      <c r="I47" s="183" t="str">
        <f t="shared" ca="1" si="2"/>
        <v>LOSS</v>
      </c>
      <c r="J47" s="184">
        <f t="shared" ca="1" si="3"/>
        <v>-2733.3908905788762</v>
      </c>
      <c r="K47" s="185">
        <f t="shared" ca="1" si="11"/>
        <v>-3.7499999999999999E-2</v>
      </c>
      <c r="L47" s="182">
        <f t="shared" ca="1" si="4"/>
        <v>70157.03285819116</v>
      </c>
      <c r="M47" s="182">
        <f ca="1">IF($M$14="non-compounding",SUM($J$17:J47)+$C$3,IFERROR(IF(I47="win",(M46*(1-$C$10)),(M46*(1-$C$11)))+L47,""))</f>
        <v>179492.66848134622</v>
      </c>
      <c r="N47" s="186">
        <f t="shared" ca="1" si="5"/>
        <v>0.79492668481346218</v>
      </c>
      <c r="O47" s="74"/>
      <c r="Q47">
        <f t="shared" si="6"/>
        <v>31</v>
      </c>
      <c r="R47">
        <f t="shared" ca="1" si="12"/>
        <v>-3.7499999999999999E-2</v>
      </c>
      <c r="S47">
        <v>31</v>
      </c>
      <c r="T47">
        <f t="shared" ca="1" si="13"/>
        <v>-0.04</v>
      </c>
      <c r="U47">
        <f t="shared" ca="1" si="7"/>
        <v>-3.7499999999999999E-2</v>
      </c>
      <c r="V47">
        <f ca="1">COUNTIF($U$17:U46,$C$8)</f>
        <v>11</v>
      </c>
      <c r="W47">
        <f ca="1">COUNTIF($U$17:U46,$C$9)</f>
        <v>19</v>
      </c>
      <c r="AC47">
        <f t="shared" ca="1" si="16"/>
        <v>-0.04</v>
      </c>
      <c r="AD47">
        <f ca="1">COUNTIF($AC$17:AC46,$D$8)</f>
        <v>11</v>
      </c>
      <c r="AE47">
        <f ca="1">COUNTIF($AC$17:AC46,$D$9)</f>
        <v>19</v>
      </c>
      <c r="AF47">
        <f t="shared" ca="1" si="17"/>
        <v>55889.648650199641</v>
      </c>
      <c r="AG47">
        <f t="shared" ca="1" si="34"/>
        <v>-2235.5859460079855</v>
      </c>
      <c r="AH47">
        <f t="shared" ca="1" si="19"/>
        <v>-0.04</v>
      </c>
      <c r="AI47">
        <f t="shared" ca="1" si="18"/>
        <v>53654.062704191652</v>
      </c>
      <c r="AJ47" s="60">
        <f ca="1">IF($M$14="non-compounding",SUM($AG$17:AG47)+$C$3,IFERROR(IF(AH47&gt;0,(AJ46*(1-$D$10)),(AJ46*(1-$D$11)))+AI47,""))</f>
        <v>137488.53567949112</v>
      </c>
      <c r="AM47">
        <f t="shared" ref="AM47:AV47" si="73">IF(AM$17&gt;ROUND($B$15*$AL$17,0),$D45,$C45)</f>
        <v>0.96000000000000052</v>
      </c>
      <c r="AN47">
        <f t="shared" si="73"/>
        <v>0.96000000000000052</v>
      </c>
      <c r="AO47">
        <f t="shared" si="73"/>
        <v>0.96000000000000052</v>
      </c>
      <c r="AP47">
        <f t="shared" si="73"/>
        <v>-0.30000000000000016</v>
      </c>
      <c r="AQ47">
        <f t="shared" si="73"/>
        <v>-0.30000000000000016</v>
      </c>
      <c r="AR47">
        <f t="shared" si="73"/>
        <v>-0.30000000000000016</v>
      </c>
      <c r="AS47">
        <f t="shared" si="73"/>
        <v>-0.30000000000000016</v>
      </c>
      <c r="AT47">
        <f t="shared" si="73"/>
        <v>-0.30000000000000016</v>
      </c>
      <c r="AU47">
        <f t="shared" si="73"/>
        <v>-0.30000000000000016</v>
      </c>
      <c r="AV47">
        <f t="shared" si="73"/>
        <v>-0.30000000000000016</v>
      </c>
      <c r="AW47">
        <f t="shared" ca="1" si="21"/>
        <v>38400.000000000022</v>
      </c>
      <c r="AX47">
        <f t="shared" ca="1" si="52"/>
        <v>75264.000000000073</v>
      </c>
      <c r="AY47">
        <f t="shared" ca="1" si="53"/>
        <v>147517.44000000021</v>
      </c>
      <c r="AZ47">
        <f t="shared" ca="1" si="54"/>
        <v>-90354.432000000132</v>
      </c>
      <c r="BA47">
        <f t="shared" ca="1" si="55"/>
        <v>-63248.102400000076</v>
      </c>
      <c r="BB47">
        <f t="shared" ca="1" si="56"/>
        <v>-44273.671680000043</v>
      </c>
      <c r="BC47">
        <f t="shared" ca="1" si="57"/>
        <v>-30991.570176000019</v>
      </c>
      <c r="BD47">
        <f t="shared" ca="1" si="58"/>
        <v>-21694.099123200009</v>
      </c>
      <c r="BE47">
        <f t="shared" ca="1" si="59"/>
        <v>-15185.869386240003</v>
      </c>
      <c r="BF47">
        <f t="shared" ca="1" si="60"/>
        <v>-10630.108570367998</v>
      </c>
      <c r="BG47">
        <f t="shared" ca="1" si="23"/>
        <v>78400.000000000029</v>
      </c>
      <c r="BH47">
        <f t="shared" ca="1" si="61"/>
        <v>153664.00000000012</v>
      </c>
      <c r="BI47">
        <f t="shared" ca="1" si="61"/>
        <v>301181.44000000029</v>
      </c>
      <c r="BJ47">
        <f t="shared" ca="1" si="61"/>
        <v>210827.00800000015</v>
      </c>
      <c r="BK47">
        <f t="shared" ca="1" si="61"/>
        <v>147578.90560000006</v>
      </c>
      <c r="BL47">
        <f t="shared" ca="1" si="61"/>
        <v>103305.23392000001</v>
      </c>
      <c r="BM47">
        <f t="shared" ca="1" si="61"/>
        <v>72313.66374399999</v>
      </c>
      <c r="BN47">
        <f t="shared" ca="1" si="61"/>
        <v>50619.564620799982</v>
      </c>
      <c r="BO47">
        <f t="shared" ca="1" si="61"/>
        <v>35433.695234559978</v>
      </c>
      <c r="BP47">
        <f t="shared" ca="1" si="61"/>
        <v>24803.586664191978</v>
      </c>
      <c r="BQ47">
        <f t="shared" ca="1" si="25"/>
        <v>0.96000000000000074</v>
      </c>
      <c r="BR47">
        <f t="shared" ca="1" si="26"/>
        <v>2.8416000000000028</v>
      </c>
      <c r="BS47">
        <f t="shared" ca="1" si="27"/>
        <v>6.5295360000000073</v>
      </c>
      <c r="BT47">
        <f t="shared" ca="1" si="28"/>
        <v>4.2706752000000039</v>
      </c>
      <c r="BU47">
        <f t="shared" ca="1" si="29"/>
        <v>2.6894726400000013</v>
      </c>
      <c r="BV47">
        <f t="shared" ca="1" si="30"/>
        <v>1.5826308480000004</v>
      </c>
      <c r="BW47">
        <f t="shared" ca="1" si="31"/>
        <v>0.80784159359999974</v>
      </c>
      <c r="BX47">
        <f t="shared" ca="1" si="32"/>
        <v>0.26548911551999954</v>
      </c>
      <c r="BY47">
        <f t="shared" ca="1" si="33"/>
        <v>-0.11415761913600055</v>
      </c>
    </row>
    <row r="48" spans="1:77" x14ac:dyDescent="0.25">
      <c r="A48" s="74"/>
      <c r="B48" s="74"/>
      <c r="C48" s="76"/>
      <c r="D48" s="76"/>
      <c r="E48" s="76"/>
      <c r="F48" s="224"/>
      <c r="G48" s="232">
        <f t="shared" si="1"/>
        <v>32</v>
      </c>
      <c r="H48" s="182">
        <f t="shared" ca="1" si="10"/>
        <v>71797.067392538491</v>
      </c>
      <c r="I48" s="183" t="str">
        <f t="shared" ca="1" si="2"/>
        <v>LOSS</v>
      </c>
      <c r="J48" s="184">
        <f t="shared" ca="1" si="3"/>
        <v>-2692.3900272201931</v>
      </c>
      <c r="K48" s="185">
        <f t="shared" ca="1" si="11"/>
        <v>-3.7499999999999999E-2</v>
      </c>
      <c r="L48" s="182">
        <f t="shared" ca="1" si="4"/>
        <v>69104.677365318305</v>
      </c>
      <c r="M48" s="182">
        <f ca="1">IF($M$14="non-compounding",SUM($J$17:J48)+$C$3,IFERROR(IF(I48="win",(M47*(1-$C$10)),(M47*(1-$C$11)))+L48,""))</f>
        <v>176800.27845412603</v>
      </c>
      <c r="N48" s="186">
        <f t="shared" ca="1" si="5"/>
        <v>0.76800278454126036</v>
      </c>
      <c r="O48" s="74"/>
      <c r="Q48">
        <f t="shared" si="6"/>
        <v>32</v>
      </c>
      <c r="R48">
        <f t="shared" ca="1" si="12"/>
        <v>-3.7499999999999999E-2</v>
      </c>
      <c r="S48">
        <v>32</v>
      </c>
      <c r="T48">
        <f t="shared" ca="1" si="13"/>
        <v>-0.04</v>
      </c>
      <c r="U48">
        <f t="shared" ca="1" si="7"/>
        <v>-3.7499999999999999E-2</v>
      </c>
      <c r="V48">
        <f ca="1">COUNTIF($U$17:U47,$C$8)</f>
        <v>11</v>
      </c>
      <c r="W48">
        <f ca="1">COUNTIF($U$17:U47,$C$9)</f>
        <v>20</v>
      </c>
      <c r="AC48">
        <f t="shared" ca="1" si="16"/>
        <v>-0.04</v>
      </c>
      <c r="AD48">
        <f ca="1">COUNTIF($AC$17:AC47,$D$8)</f>
        <v>11</v>
      </c>
      <c r="AE48">
        <f ca="1">COUNTIF($AC$17:AC47,$D$9)</f>
        <v>20</v>
      </c>
      <c r="AF48">
        <f t="shared" ca="1" si="17"/>
        <v>54995.41427179645</v>
      </c>
      <c r="AG48">
        <f t="shared" ca="1" si="34"/>
        <v>-2199.8165708718579</v>
      </c>
      <c r="AH48">
        <f t="shared" ca="1" si="19"/>
        <v>-0.04</v>
      </c>
      <c r="AI48">
        <f t="shared" ca="1" si="18"/>
        <v>52795.597700924591</v>
      </c>
      <c r="AJ48" s="60">
        <f ca="1">IF($M$14="non-compounding",SUM($AG$17:AG48)+$C$3,IFERROR(IF(AH48&gt;0,(AJ47*(1-$D$10)),(AJ47*(1-$D$11)))+AI48,""))</f>
        <v>135288.71910861926</v>
      </c>
    </row>
    <row r="49" spans="1:36" x14ac:dyDescent="0.25">
      <c r="A49" s="74"/>
      <c r="B49" s="76"/>
      <c r="C49" s="76"/>
      <c r="D49" s="76"/>
      <c r="E49" s="76"/>
      <c r="F49" s="224"/>
      <c r="G49" s="232">
        <f t="shared" ref="G49:G80" si="74">Q49</f>
        <v>33</v>
      </c>
      <c r="H49" s="182">
        <f t="shared" ca="1" si="10"/>
        <v>70720.111381650422</v>
      </c>
      <c r="I49" s="183" t="str">
        <f t="shared" ref="I49:I80" ca="1" si="75">IF(G49="","",IF(K49&lt;0,"LOSS","WIN"))</f>
        <v>LOSS</v>
      </c>
      <c r="J49" s="184">
        <f t="shared" ref="J49:J80" ca="1" si="76">IFERROR(H49*K49,"")</f>
        <v>-2652.0041768118908</v>
      </c>
      <c r="K49" s="185">
        <f t="shared" ca="1" si="11"/>
        <v>-3.7499999999999999E-2</v>
      </c>
      <c r="L49" s="182">
        <f t="shared" ref="L49:L80" ca="1" si="77">IFERROR(J49+H49,"")</f>
        <v>68068.107204838525</v>
      </c>
      <c r="M49" s="182">
        <f ca="1">IF($M$14="non-compounding",SUM($J$17:J49)+$C$3,IFERROR(IF(I49="win",(M48*(1-$C$10)),(M48*(1-$C$11)))+L49,""))</f>
        <v>174148.27427731414</v>
      </c>
      <c r="N49" s="186">
        <f t="shared" ref="N49:N80" ca="1" si="78">IFERROR((M49-$C$3)/$C$3,"")</f>
        <v>0.74148274277314141</v>
      </c>
      <c r="O49" s="74"/>
      <c r="Q49">
        <f t="shared" ref="Q49:Q80" si="79">IFERROR(IF(S49&gt;$C$4,"",S49),"")</f>
        <v>33</v>
      </c>
      <c r="R49">
        <f t="shared" ref="R49:R80" ca="1" si="80">IF(S48&gt;=$C$4,"",IF(V49&gt;$X$11,$C$9,IF(W49&gt;=$Y$11,$C$8,U49)))</f>
        <v>-3.7499999999999999E-2</v>
      </c>
      <c r="S49">
        <v>33</v>
      </c>
      <c r="T49">
        <f t="shared" ca="1" si="13"/>
        <v>-0.04</v>
      </c>
      <c r="U49">
        <f t="shared" ref="U49:U80" ca="1" si="81">CHOOSE(RANDBETWEEN(1,20),$Z$18,$Z$19,$Z$20,$Z$21,$Z$22,$Z$23,$Z$24,$Z$25,$Z$26,$Z$27,$Z$28,$Z$29,$Z$30,$Z$31,$Z$32,$Z$33,$Z$34,$Z$35,$Z$36,$Z$37)</f>
        <v>-3.7499999999999999E-2</v>
      </c>
      <c r="V49">
        <f ca="1">COUNTIF($U$17:U48,$C$8)</f>
        <v>11</v>
      </c>
      <c r="W49">
        <f ca="1">COUNTIF($U$17:U48,$C$9)</f>
        <v>21</v>
      </c>
      <c r="AC49">
        <f t="shared" ca="1" si="16"/>
        <v>-0.04</v>
      </c>
      <c r="AD49">
        <f ca="1">COUNTIF($AC$17:AC48,$D$8)</f>
        <v>11</v>
      </c>
      <c r="AE49">
        <f ca="1">COUNTIF($AC$17:AC48,$D$9)</f>
        <v>21</v>
      </c>
      <c r="AF49">
        <f t="shared" ca="1" si="17"/>
        <v>54115.487643447705</v>
      </c>
      <c r="AG49">
        <f t="shared" ca="1" si="34"/>
        <v>-2164.6195057379082</v>
      </c>
      <c r="AH49">
        <f t="shared" ca="1" si="19"/>
        <v>-0.04</v>
      </c>
      <c r="AI49">
        <f t="shared" ca="1" si="18"/>
        <v>51950.868137709796</v>
      </c>
      <c r="AJ49" s="60">
        <f ca="1">IF($M$14="non-compounding",SUM($AG$17:AG49)+$C$3,IFERROR(IF(AH49&gt;0,(AJ48*(1-$D$10)),(AJ48*(1-$D$11)))+AI49,""))</f>
        <v>133124.09960288135</v>
      </c>
    </row>
    <row r="50" spans="1:36" x14ac:dyDescent="0.25">
      <c r="A50" s="74"/>
      <c r="B50" s="76"/>
      <c r="C50" s="76"/>
      <c r="D50" s="76"/>
      <c r="E50" s="76"/>
      <c r="F50" s="224"/>
      <c r="G50" s="232">
        <f t="shared" si="74"/>
        <v>34</v>
      </c>
      <c r="H50" s="182">
        <f t="shared" ref="H50:H81" ca="1" si="82">IFERROR(IF($M$14="non-compounding",IF(I50="loss",($C$3*$C$11),($C$3*$C$10)),IF(G50="","",IF(I50="win",$C$10*M49,$C$11*M49))),"")</f>
        <v>69659.309710925663</v>
      </c>
      <c r="I50" s="183" t="str">
        <f t="shared" ca="1" si="75"/>
        <v>LOSS</v>
      </c>
      <c r="J50" s="184">
        <f t="shared" ca="1" si="76"/>
        <v>-2612.2241141597124</v>
      </c>
      <c r="K50" s="185">
        <f t="shared" ref="K50:K81" ca="1" si="83">IF(S49&gt;=$C$4,"",IF(V50&gt;=$X$11,$C$9,IF(W50&gt;=$Y$11,$C$8,U50)))</f>
        <v>-3.7499999999999999E-2</v>
      </c>
      <c r="L50" s="182">
        <f t="shared" ca="1" si="77"/>
        <v>67047.085596765945</v>
      </c>
      <c r="M50" s="182">
        <f ca="1">IF($M$14="non-compounding",SUM($J$17:J50)+$C$3,IFERROR(IF(I50="win",(M49*(1-$C$10)),(M49*(1-$C$11)))+L50,""))</f>
        <v>171536.05016315443</v>
      </c>
      <c r="N50" s="186">
        <f t="shared" ca="1" si="78"/>
        <v>0.7153605016315443</v>
      </c>
      <c r="O50" s="74"/>
      <c r="Q50">
        <f t="shared" si="79"/>
        <v>34</v>
      </c>
      <c r="R50">
        <f t="shared" ca="1" si="80"/>
        <v>-3.7499999999999999E-2</v>
      </c>
      <c r="S50">
        <v>34</v>
      </c>
      <c r="T50">
        <f t="shared" ca="1" si="13"/>
        <v>-0.04</v>
      </c>
      <c r="U50">
        <f t="shared" ca="1" si="81"/>
        <v>-3.7499999999999999E-2</v>
      </c>
      <c r="V50">
        <f ca="1">COUNTIF($U$17:U49,$C$8)</f>
        <v>11</v>
      </c>
      <c r="W50">
        <f ca="1">COUNTIF($U$17:U49,$C$9)</f>
        <v>22</v>
      </c>
      <c r="AC50">
        <f t="shared" ca="1" si="16"/>
        <v>-0.04</v>
      </c>
      <c r="AD50">
        <f ca="1">COUNTIF($AC$17:AC49,$D$8)</f>
        <v>11</v>
      </c>
      <c r="AE50">
        <f ca="1">COUNTIF($AC$17:AC49,$D$9)</f>
        <v>22</v>
      </c>
      <c r="AF50">
        <f t="shared" ref="AF50:AF81" ca="1" si="84">IFERROR(IF($M$14="non-compounding",IF(AH50&lt;0,($C$3*$D$11),($C$3*$D$10)),IF(G50="","",IF(AH50&gt;0,$D$10*AJ49,$D$11*AJ49))),"")</f>
        <v>53249.639841152544</v>
      </c>
      <c r="AG50">
        <f t="shared" ca="1" si="34"/>
        <v>-2129.9855936461017</v>
      </c>
      <c r="AH50">
        <f t="shared" ca="1" si="19"/>
        <v>-0.04</v>
      </c>
      <c r="AI50">
        <f t="shared" ca="1" si="18"/>
        <v>51119.654247506442</v>
      </c>
      <c r="AJ50" s="60">
        <f ca="1">IF($M$14="non-compounding",SUM($AG$17:AG50)+$C$3,IFERROR(IF(AH50&gt;0,(AJ49*(1-$D$10)),(AJ49*(1-$D$11)))+AI50,""))</f>
        <v>130994.11400923526</v>
      </c>
    </row>
    <row r="51" spans="1:36" x14ac:dyDescent="0.25">
      <c r="A51" s="74"/>
      <c r="B51" s="76"/>
      <c r="C51" s="76"/>
      <c r="D51" s="76"/>
      <c r="E51" s="76"/>
      <c r="F51" s="224"/>
      <c r="G51" s="232">
        <f t="shared" si="74"/>
        <v>35</v>
      </c>
      <c r="H51" s="182">
        <f t="shared" ca="1" si="82"/>
        <v>120075.23511420809</v>
      </c>
      <c r="I51" s="183" t="str">
        <f t="shared" ca="1" si="75"/>
        <v>WIN</v>
      </c>
      <c r="J51" s="184">
        <f t="shared" ca="1" si="76"/>
        <v>14409.028213704971</v>
      </c>
      <c r="K51" s="185">
        <f t="shared" ca="1" si="83"/>
        <v>0.12</v>
      </c>
      <c r="L51" s="182">
        <f t="shared" ca="1" si="77"/>
        <v>134484.26332791307</v>
      </c>
      <c r="M51" s="182">
        <f ca="1">IF($M$14="non-compounding",SUM($J$17:J51)+$C$3,IFERROR(IF(I51="win",(M50*(1-$C$10)),(M50*(1-$C$11)))+L51,""))</f>
        <v>185945.0783768594</v>
      </c>
      <c r="N51" s="186">
        <f t="shared" ca="1" si="78"/>
        <v>0.85945078376859396</v>
      </c>
      <c r="O51" s="74"/>
      <c r="Q51">
        <f t="shared" si="79"/>
        <v>35</v>
      </c>
      <c r="R51">
        <f t="shared" ca="1" si="80"/>
        <v>0.12</v>
      </c>
      <c r="S51">
        <v>35</v>
      </c>
      <c r="T51">
        <f t="shared" ca="1" si="13"/>
        <v>-0.04</v>
      </c>
      <c r="U51">
        <f t="shared" ca="1" si="81"/>
        <v>0.12</v>
      </c>
      <c r="V51">
        <f ca="1">COUNTIF($U$17:U50,$C$8)</f>
        <v>11</v>
      </c>
      <c r="W51">
        <f ca="1">COUNTIF($U$17:U50,$C$9)</f>
        <v>23</v>
      </c>
      <c r="AC51">
        <f t="shared" ca="1" si="16"/>
        <v>-0.04</v>
      </c>
      <c r="AD51">
        <f ca="1">COUNTIF($AC$17:AC50,$D$8)</f>
        <v>11</v>
      </c>
      <c r="AE51">
        <f ca="1">COUNTIF($AC$17:AC50,$D$9)</f>
        <v>23</v>
      </c>
      <c r="AF51">
        <f t="shared" ca="1" si="84"/>
        <v>52397.645603694109</v>
      </c>
      <c r="AG51">
        <f t="shared" ca="1" si="34"/>
        <v>-2095.9058241477642</v>
      </c>
      <c r="AH51">
        <f t="shared" ca="1" si="19"/>
        <v>-0.04</v>
      </c>
      <c r="AI51">
        <f t="shared" ca="1" si="18"/>
        <v>50301.739779546348</v>
      </c>
      <c r="AJ51" s="60">
        <f ca="1">IF($M$14="non-compounding",SUM($AG$17:AG51)+$C$3,IFERROR(IF(AH51&gt;0,(AJ50*(1-$D$10)),(AJ50*(1-$D$11)))+AI51,""))</f>
        <v>128898.2081850875</v>
      </c>
    </row>
    <row r="52" spans="1:36" x14ac:dyDescent="0.25">
      <c r="A52" s="74"/>
      <c r="B52" s="76"/>
      <c r="C52" s="76"/>
      <c r="D52" s="76"/>
      <c r="E52" s="76"/>
      <c r="F52" s="224"/>
      <c r="G52" s="232">
        <f t="shared" si="74"/>
        <v>36</v>
      </c>
      <c r="H52" s="182">
        <f t="shared" ca="1" si="82"/>
        <v>130161.55486380158</v>
      </c>
      <c r="I52" s="183" t="str">
        <f t="shared" ca="1" si="75"/>
        <v>WIN</v>
      </c>
      <c r="J52" s="184">
        <f t="shared" ca="1" si="76"/>
        <v>15619.386583656189</v>
      </c>
      <c r="K52" s="185">
        <f t="shared" ca="1" si="83"/>
        <v>0.12</v>
      </c>
      <c r="L52" s="182">
        <f t="shared" ca="1" si="77"/>
        <v>145780.94144745776</v>
      </c>
      <c r="M52" s="182">
        <f ca="1">IF($M$14="non-compounding",SUM($J$17:J52)+$C$3,IFERROR(IF(I52="win",(M51*(1-$C$10)),(M51*(1-$C$11)))+L52,""))</f>
        <v>201564.46496051559</v>
      </c>
      <c r="N52" s="186">
        <f t="shared" ca="1" si="78"/>
        <v>1.0156446496051559</v>
      </c>
      <c r="O52" s="74"/>
      <c r="Q52">
        <f t="shared" si="79"/>
        <v>36</v>
      </c>
      <c r="R52">
        <f t="shared" ca="1" si="80"/>
        <v>0.12</v>
      </c>
      <c r="S52">
        <v>36</v>
      </c>
      <c r="T52">
        <f t="shared" ca="1" si="13"/>
        <v>-0.04</v>
      </c>
      <c r="U52">
        <f t="shared" ca="1" si="81"/>
        <v>0.12</v>
      </c>
      <c r="V52">
        <f ca="1">COUNTIF($U$17:U51,$C$8)</f>
        <v>12</v>
      </c>
      <c r="W52">
        <f ca="1">COUNTIF($U$17:U51,$C$9)</f>
        <v>23</v>
      </c>
      <c r="AC52">
        <f t="shared" ca="1" si="16"/>
        <v>-0.04</v>
      </c>
      <c r="AD52">
        <f ca="1">COUNTIF($AC$17:AC51,$D$8)</f>
        <v>11</v>
      </c>
      <c r="AE52">
        <f ca="1">COUNTIF($AC$17:AC51,$D$9)</f>
        <v>24</v>
      </c>
      <c r="AF52">
        <f t="shared" ca="1" si="84"/>
        <v>51559.283274034999</v>
      </c>
      <c r="AG52">
        <f t="shared" ca="1" si="34"/>
        <v>-2062.3713309614</v>
      </c>
      <c r="AH52">
        <f t="shared" ca="1" si="19"/>
        <v>-0.04</v>
      </c>
      <c r="AI52">
        <f t="shared" ca="1" si="18"/>
        <v>49496.911943073595</v>
      </c>
      <c r="AJ52" s="60">
        <f ca="1">IF($M$14="non-compounding",SUM($AG$17:AG52)+$C$3,IFERROR(IF(AH52&gt;0,(AJ51*(1-$D$10)),(AJ51*(1-$D$11)))+AI52,""))</f>
        <v>126835.8368541261</v>
      </c>
    </row>
    <row r="53" spans="1:36" x14ac:dyDescent="0.25">
      <c r="A53" s="74"/>
      <c r="B53" s="76"/>
      <c r="C53" s="76"/>
      <c r="D53" s="76"/>
      <c r="E53" s="76"/>
      <c r="F53" s="224"/>
      <c r="G53" s="232">
        <f t="shared" si="74"/>
        <v>37</v>
      </c>
      <c r="H53" s="182">
        <f t="shared" ca="1" si="82"/>
        <v>80625.785984206246</v>
      </c>
      <c r="I53" s="183" t="str">
        <f t="shared" ca="1" si="75"/>
        <v>LOSS</v>
      </c>
      <c r="J53" s="184">
        <f t="shared" ca="1" si="76"/>
        <v>-3023.4669744077341</v>
      </c>
      <c r="K53" s="185">
        <f t="shared" ca="1" si="83"/>
        <v>-3.7499999999999999E-2</v>
      </c>
      <c r="L53" s="182">
        <f t="shared" ca="1" si="77"/>
        <v>77602.319009798506</v>
      </c>
      <c r="M53" s="182">
        <f ca="1">IF($M$14="non-compounding",SUM($J$17:J53)+$C$3,IFERROR(IF(I53="win",(M52*(1-$C$10)),(M52*(1-$C$11)))+L53,""))</f>
        <v>198540.99798610783</v>
      </c>
      <c r="N53" s="186">
        <f t="shared" ca="1" si="78"/>
        <v>0.98540997986107837</v>
      </c>
      <c r="O53" s="74"/>
      <c r="Q53">
        <f t="shared" si="79"/>
        <v>37</v>
      </c>
      <c r="R53">
        <f t="shared" ca="1" si="80"/>
        <v>-3.7499999999999999E-2</v>
      </c>
      <c r="S53">
        <v>37</v>
      </c>
      <c r="T53">
        <f t="shared" ca="1" si="13"/>
        <v>0.15</v>
      </c>
      <c r="U53">
        <f t="shared" ca="1" si="81"/>
        <v>-3.7499999999999999E-2</v>
      </c>
      <c r="V53">
        <f ca="1">COUNTIF($U$17:U52,$C$8)</f>
        <v>13</v>
      </c>
      <c r="W53">
        <f ca="1">COUNTIF($U$17:U52,$C$9)</f>
        <v>23</v>
      </c>
      <c r="AC53">
        <f t="shared" ca="1" si="16"/>
        <v>0.15</v>
      </c>
      <c r="AD53">
        <f ca="1">COUNTIF($AC$17:AC52,$D$8)</f>
        <v>11</v>
      </c>
      <c r="AE53">
        <f ca="1">COUNTIF($AC$17:AC52,$D$9)</f>
        <v>25</v>
      </c>
      <c r="AF53">
        <f t="shared" ca="1" si="84"/>
        <v>50734.33474165044</v>
      </c>
      <c r="AG53">
        <f t="shared" ca="1" si="34"/>
        <v>7610.1502112475655</v>
      </c>
      <c r="AH53">
        <f t="shared" ca="1" si="19"/>
        <v>0.15</v>
      </c>
      <c r="AI53">
        <f t="shared" ca="1" si="18"/>
        <v>58344.484952898005</v>
      </c>
      <c r="AJ53" s="60">
        <f ca="1">IF($M$14="non-compounding",SUM($AG$17:AG53)+$C$3,IFERROR(IF(AH53&gt;0,(AJ52*(1-$D$10)),(AJ52*(1-$D$11)))+AI53,""))</f>
        <v>134445.98706537366</v>
      </c>
    </row>
    <row r="54" spans="1:36" x14ac:dyDescent="0.25">
      <c r="A54" s="74"/>
      <c r="B54" s="76"/>
      <c r="C54" s="76"/>
      <c r="D54" s="76"/>
      <c r="E54" s="76"/>
      <c r="F54" s="224"/>
      <c r="G54" s="232">
        <f t="shared" si="74"/>
        <v>38</v>
      </c>
      <c r="H54" s="182">
        <f t="shared" ca="1" si="82"/>
        <v>79416.399194443133</v>
      </c>
      <c r="I54" s="183" t="str">
        <f t="shared" ca="1" si="75"/>
        <v>LOSS</v>
      </c>
      <c r="J54" s="184">
        <f t="shared" ca="1" si="76"/>
        <v>-2978.1149697916176</v>
      </c>
      <c r="K54" s="185">
        <f t="shared" ca="1" si="83"/>
        <v>-3.7499999999999999E-2</v>
      </c>
      <c r="L54" s="182">
        <f t="shared" ca="1" si="77"/>
        <v>76438.284224651521</v>
      </c>
      <c r="M54" s="182">
        <f ca="1">IF($M$14="non-compounding",SUM($J$17:J54)+$C$3,IFERROR(IF(I54="win",(M53*(1-$C$10)),(M53*(1-$C$11)))+L54,""))</f>
        <v>195562.88301631622</v>
      </c>
      <c r="N54" s="186">
        <f t="shared" ca="1" si="78"/>
        <v>0.95562883016316225</v>
      </c>
      <c r="O54" s="74"/>
      <c r="Q54">
        <f t="shared" si="79"/>
        <v>38</v>
      </c>
      <c r="R54">
        <f t="shared" ca="1" si="80"/>
        <v>-3.7499999999999999E-2</v>
      </c>
      <c r="S54">
        <v>38</v>
      </c>
      <c r="T54">
        <f t="shared" ca="1" si="13"/>
        <v>-0.04</v>
      </c>
      <c r="U54">
        <f t="shared" ca="1" si="81"/>
        <v>-3.7499999999999999E-2</v>
      </c>
      <c r="V54">
        <f ca="1">COUNTIF($U$17:U53,$C$8)</f>
        <v>13</v>
      </c>
      <c r="W54">
        <f ca="1">COUNTIF($U$17:U53,$C$9)</f>
        <v>24</v>
      </c>
      <c r="AC54">
        <f t="shared" ca="1" si="16"/>
        <v>-0.04</v>
      </c>
      <c r="AD54">
        <f ca="1">COUNTIF($AC$17:AC53,$D$8)</f>
        <v>12</v>
      </c>
      <c r="AE54">
        <f ca="1">COUNTIF($AC$17:AC53,$D$9)</f>
        <v>25</v>
      </c>
      <c r="AF54">
        <f t="shared" ca="1" si="84"/>
        <v>53778.394826149466</v>
      </c>
      <c r="AG54">
        <f t="shared" ca="1" si="34"/>
        <v>-2151.1357930459785</v>
      </c>
      <c r="AH54">
        <f t="shared" ca="1" si="19"/>
        <v>-0.04</v>
      </c>
      <c r="AI54">
        <f t="shared" ca="1" si="18"/>
        <v>51627.259033103488</v>
      </c>
      <c r="AJ54" s="60">
        <f ca="1">IF($M$14="non-compounding",SUM($AG$17:AG54)+$C$3,IFERROR(IF(AH54&gt;0,(AJ53*(1-$D$10)),(AJ53*(1-$D$11)))+AI54,""))</f>
        <v>132294.85127232768</v>
      </c>
    </row>
    <row r="55" spans="1:36" x14ac:dyDescent="0.25">
      <c r="A55" s="74"/>
      <c r="B55" s="76"/>
      <c r="C55" s="76"/>
      <c r="D55" s="76"/>
      <c r="E55" s="76"/>
      <c r="F55" s="224"/>
      <c r="G55" s="232">
        <f t="shared" si="74"/>
        <v>39</v>
      </c>
      <c r="H55" s="182">
        <f t="shared" ca="1" si="82"/>
        <v>136894.01811142135</v>
      </c>
      <c r="I55" s="183" t="str">
        <f t="shared" ca="1" si="75"/>
        <v>WIN</v>
      </c>
      <c r="J55" s="184">
        <f t="shared" ca="1" si="76"/>
        <v>16427.28217337056</v>
      </c>
      <c r="K55" s="185">
        <f t="shared" ca="1" si="83"/>
        <v>0.12</v>
      </c>
      <c r="L55" s="182">
        <f t="shared" ca="1" si="77"/>
        <v>153321.30028479191</v>
      </c>
      <c r="M55" s="182">
        <f ca="1">IF($M$14="non-compounding",SUM($J$17:J55)+$C$3,IFERROR(IF(I55="win",(M54*(1-$C$10)),(M54*(1-$C$11)))+L55,""))</f>
        <v>211990.16518968678</v>
      </c>
      <c r="N55" s="186">
        <f t="shared" ca="1" si="78"/>
        <v>1.1199016518968679</v>
      </c>
      <c r="O55" s="74"/>
      <c r="Q55">
        <f t="shared" si="79"/>
        <v>39</v>
      </c>
      <c r="R55">
        <f t="shared" ca="1" si="80"/>
        <v>0.12</v>
      </c>
      <c r="S55">
        <v>39</v>
      </c>
      <c r="T55">
        <f t="shared" ca="1" si="13"/>
        <v>-0.04</v>
      </c>
      <c r="U55">
        <f t="shared" ca="1" si="81"/>
        <v>0.12</v>
      </c>
      <c r="V55">
        <f ca="1">COUNTIF($U$17:U54,$C$8)</f>
        <v>13</v>
      </c>
      <c r="W55">
        <f ca="1">COUNTIF($U$17:U54,$C$9)</f>
        <v>25</v>
      </c>
      <c r="AC55">
        <f t="shared" ca="1" si="16"/>
        <v>-0.04</v>
      </c>
      <c r="AD55">
        <f ca="1">COUNTIF($AC$17:AC54,$D$8)</f>
        <v>12</v>
      </c>
      <c r="AE55">
        <f ca="1">COUNTIF($AC$17:AC54,$D$9)</f>
        <v>26</v>
      </c>
      <c r="AF55">
        <f t="shared" ca="1" si="84"/>
        <v>52917.940508931075</v>
      </c>
      <c r="AG55">
        <f t="shared" ca="1" si="34"/>
        <v>-2116.717620357243</v>
      </c>
      <c r="AH55">
        <f t="shared" ca="1" si="19"/>
        <v>-0.04</v>
      </c>
      <c r="AI55">
        <f t="shared" ca="1" si="18"/>
        <v>50801.22288857383</v>
      </c>
      <c r="AJ55" s="60">
        <f ca="1">IF($M$14="non-compounding",SUM($AG$17:AG55)+$C$3,IFERROR(IF(AH55&gt;0,(AJ54*(1-$D$10)),(AJ54*(1-$D$11)))+AI55,""))</f>
        <v>130178.13365197043</v>
      </c>
    </row>
    <row r="56" spans="1:36" x14ac:dyDescent="0.25">
      <c r="A56" s="74"/>
      <c r="B56" s="76"/>
      <c r="C56" s="76"/>
      <c r="D56" s="76"/>
      <c r="E56" s="76"/>
      <c r="F56" s="224"/>
      <c r="G56" s="232">
        <f t="shared" si="74"/>
        <v>40</v>
      </c>
      <c r="H56" s="182">
        <f t="shared" ca="1" si="82"/>
        <v>84796.066075874725</v>
      </c>
      <c r="I56" s="183" t="str">
        <f t="shared" ca="1" si="75"/>
        <v>LOSS</v>
      </c>
      <c r="J56" s="184">
        <f t="shared" ca="1" si="76"/>
        <v>-3179.852477845302</v>
      </c>
      <c r="K56" s="185">
        <f t="shared" ca="1" si="83"/>
        <v>-3.7499999999999999E-2</v>
      </c>
      <c r="L56" s="182">
        <f t="shared" ca="1" si="77"/>
        <v>81616.213598029426</v>
      </c>
      <c r="M56" s="182">
        <f ca="1">IF($M$14="non-compounding",SUM($J$17:J56)+$C$3,IFERROR(IF(I56="win",(M55*(1-$C$10)),(M55*(1-$C$11)))+L56,""))</f>
        <v>208810.31271184148</v>
      </c>
      <c r="N56" s="186">
        <f t="shared" ca="1" si="78"/>
        <v>1.0881031271184149</v>
      </c>
      <c r="O56" s="74"/>
      <c r="Q56">
        <f t="shared" si="79"/>
        <v>40</v>
      </c>
      <c r="R56">
        <f t="shared" ca="1" si="80"/>
        <v>-3.7499999999999999E-2</v>
      </c>
      <c r="S56">
        <v>40</v>
      </c>
      <c r="T56">
        <f t="shared" ca="1" si="13"/>
        <v>-0.04</v>
      </c>
      <c r="U56">
        <f t="shared" ca="1" si="81"/>
        <v>-3.7499999999999999E-2</v>
      </c>
      <c r="V56">
        <f ca="1">COUNTIF($U$17:U55,$C$8)</f>
        <v>14</v>
      </c>
      <c r="W56">
        <f ca="1">COUNTIF($U$17:U55,$C$9)</f>
        <v>25</v>
      </c>
      <c r="AC56">
        <f t="shared" ca="1" si="16"/>
        <v>-0.04</v>
      </c>
      <c r="AD56">
        <f ca="1">COUNTIF($AC$17:AC55,$D$8)</f>
        <v>12</v>
      </c>
      <c r="AE56">
        <f ca="1">COUNTIF($AC$17:AC55,$D$9)</f>
        <v>27</v>
      </c>
      <c r="AF56">
        <f t="shared" ca="1" si="84"/>
        <v>52071.253460788175</v>
      </c>
      <c r="AG56">
        <f t="shared" ca="1" si="34"/>
        <v>-2082.8501384315268</v>
      </c>
      <c r="AH56">
        <f t="shared" ca="1" si="19"/>
        <v>-0.04</v>
      </c>
      <c r="AI56">
        <f t="shared" ca="1" si="18"/>
        <v>49988.403322356651</v>
      </c>
      <c r="AJ56" s="60">
        <f ca="1">IF($M$14="non-compounding",SUM($AG$17:AG56)+$C$3,IFERROR(IF(AH56&gt;0,(AJ55*(1-$D$10)),(AJ55*(1-$D$11)))+AI56,""))</f>
        <v>128095.2835135389</v>
      </c>
    </row>
    <row r="57" spans="1:36" x14ac:dyDescent="0.25">
      <c r="A57" s="74"/>
      <c r="B57" s="76"/>
      <c r="C57" s="76"/>
      <c r="D57" s="76"/>
      <c r="E57" s="76"/>
      <c r="F57" s="224"/>
      <c r="G57" s="232">
        <f t="shared" si="74"/>
        <v>41</v>
      </c>
      <c r="H57" s="182">
        <f t="shared" ca="1" si="82"/>
        <v>83524.125084736603</v>
      </c>
      <c r="I57" s="183" t="str">
        <f t="shared" ca="1" si="75"/>
        <v>LOSS</v>
      </c>
      <c r="J57" s="184">
        <f t="shared" ca="1" si="76"/>
        <v>-3132.1546906776225</v>
      </c>
      <c r="K57" s="185">
        <f t="shared" ca="1" si="83"/>
        <v>-3.7499999999999999E-2</v>
      </c>
      <c r="L57" s="182">
        <f t="shared" ca="1" si="77"/>
        <v>80391.970394058982</v>
      </c>
      <c r="M57" s="182">
        <f ca="1">IF($M$14="non-compounding",SUM($J$17:J57)+$C$3,IFERROR(IF(I57="win",(M56*(1-$C$10)),(M56*(1-$C$11)))+L57,""))</f>
        <v>205678.15802116386</v>
      </c>
      <c r="N57" s="186">
        <f t="shared" ca="1" si="78"/>
        <v>1.0567815802116387</v>
      </c>
      <c r="O57" s="74"/>
      <c r="Q57">
        <f t="shared" si="79"/>
        <v>41</v>
      </c>
      <c r="R57">
        <f t="shared" ca="1" si="80"/>
        <v>-3.7499999999999999E-2</v>
      </c>
      <c r="S57">
        <v>41</v>
      </c>
      <c r="T57">
        <f t="shared" ca="1" si="13"/>
        <v>0.15</v>
      </c>
      <c r="U57">
        <f t="shared" ca="1" si="81"/>
        <v>-3.7499999999999999E-2</v>
      </c>
      <c r="V57">
        <f ca="1">COUNTIF($U$17:U56,$C$8)</f>
        <v>14</v>
      </c>
      <c r="W57">
        <f ca="1">COUNTIF($U$17:U56,$C$9)</f>
        <v>26</v>
      </c>
      <c r="AC57">
        <f t="shared" ca="1" si="16"/>
        <v>0.15</v>
      </c>
      <c r="AD57">
        <f ca="1">COUNTIF($AC$17:AC56,$D$8)</f>
        <v>12</v>
      </c>
      <c r="AE57">
        <f ca="1">COUNTIF($AC$17:AC56,$D$9)</f>
        <v>28</v>
      </c>
      <c r="AF57">
        <f t="shared" ca="1" si="84"/>
        <v>51238.113405415563</v>
      </c>
      <c r="AG57">
        <f t="shared" ca="1" si="34"/>
        <v>7685.7170108123337</v>
      </c>
      <c r="AH57">
        <f t="shared" ca="1" si="19"/>
        <v>0.15</v>
      </c>
      <c r="AI57">
        <f t="shared" ca="1" si="18"/>
        <v>58923.830416227895</v>
      </c>
      <c r="AJ57" s="60">
        <f ca="1">IF($M$14="non-compounding",SUM($AG$17:AG57)+$C$3,IFERROR(IF(AH57&gt;0,(AJ56*(1-$D$10)),(AJ56*(1-$D$11)))+AI57,""))</f>
        <v>135781.00052435123</v>
      </c>
    </row>
    <row r="58" spans="1:36" x14ac:dyDescent="0.25">
      <c r="A58" s="74"/>
      <c r="B58" s="76"/>
      <c r="C58" s="76"/>
      <c r="D58" s="76"/>
      <c r="E58" s="76"/>
      <c r="F58" s="224"/>
      <c r="G58" s="232">
        <f t="shared" si="74"/>
        <v>42</v>
      </c>
      <c r="H58" s="182">
        <f t="shared" ca="1" si="82"/>
        <v>82271.263208465549</v>
      </c>
      <c r="I58" s="183" t="str">
        <f t="shared" ca="1" si="75"/>
        <v>LOSS</v>
      </c>
      <c r="J58" s="184">
        <f t="shared" ca="1" si="76"/>
        <v>-3085.172370317458</v>
      </c>
      <c r="K58" s="185">
        <f t="shared" ca="1" si="83"/>
        <v>-3.7499999999999999E-2</v>
      </c>
      <c r="L58" s="182">
        <f t="shared" ca="1" si="77"/>
        <v>79186.090838148084</v>
      </c>
      <c r="M58" s="182">
        <f ca="1">IF($M$14="non-compounding",SUM($J$17:J58)+$C$3,IFERROR(IF(I58="win",(M57*(1-$C$10)),(M57*(1-$C$11)))+L58,""))</f>
        <v>202592.98565084639</v>
      </c>
      <c r="N58" s="186">
        <f t="shared" ca="1" si="78"/>
        <v>1.0259298565084638</v>
      </c>
      <c r="O58" s="74"/>
      <c r="Q58">
        <f t="shared" si="79"/>
        <v>42</v>
      </c>
      <c r="R58">
        <f t="shared" ca="1" si="80"/>
        <v>-3.7499999999999999E-2</v>
      </c>
      <c r="S58">
        <v>42</v>
      </c>
      <c r="T58">
        <f t="shared" ca="1" si="13"/>
        <v>-0.04</v>
      </c>
      <c r="U58">
        <f t="shared" ca="1" si="81"/>
        <v>-3.7499999999999999E-2</v>
      </c>
      <c r="V58">
        <f ca="1">COUNTIF($U$17:U57,$C$8)</f>
        <v>14</v>
      </c>
      <c r="W58">
        <f ca="1">COUNTIF($U$17:U57,$C$9)</f>
        <v>27</v>
      </c>
      <c r="AC58">
        <f t="shared" ca="1" si="16"/>
        <v>-0.04</v>
      </c>
      <c r="AD58">
        <f ca="1">COUNTIF($AC$17:AC57,$D$8)</f>
        <v>13</v>
      </c>
      <c r="AE58">
        <f ca="1">COUNTIF($AC$17:AC57,$D$9)</f>
        <v>28</v>
      </c>
      <c r="AF58">
        <f t="shared" ca="1" si="84"/>
        <v>54312.400209740495</v>
      </c>
      <c r="AG58">
        <f t="shared" ca="1" si="34"/>
        <v>-2172.4960083896199</v>
      </c>
      <c r="AH58">
        <f t="shared" ca="1" si="19"/>
        <v>-0.04</v>
      </c>
      <c r="AI58">
        <f t="shared" ca="1" si="18"/>
        <v>52139.904201350873</v>
      </c>
      <c r="AJ58" s="60">
        <f ca="1">IF($M$14="non-compounding",SUM($AG$17:AG58)+$C$3,IFERROR(IF(AH58&gt;0,(AJ57*(1-$D$10)),(AJ57*(1-$D$11)))+AI58,""))</f>
        <v>133608.50451596163</v>
      </c>
    </row>
    <row r="59" spans="1:36" x14ac:dyDescent="0.25">
      <c r="A59" s="74"/>
      <c r="B59" s="76"/>
      <c r="C59" s="76"/>
      <c r="D59" s="76"/>
      <c r="E59" s="76"/>
      <c r="F59" s="224"/>
      <c r="G59" s="232">
        <f t="shared" si="74"/>
        <v>43</v>
      </c>
      <c r="H59" s="182">
        <f t="shared" ca="1" si="82"/>
        <v>141815.08995559247</v>
      </c>
      <c r="I59" s="183" t="str">
        <f t="shared" ca="1" si="75"/>
        <v>WIN</v>
      </c>
      <c r="J59" s="184">
        <f t="shared" ca="1" si="76"/>
        <v>17017.810794671095</v>
      </c>
      <c r="K59" s="185">
        <f t="shared" ca="1" si="83"/>
        <v>0.12</v>
      </c>
      <c r="L59" s="182">
        <f t="shared" ca="1" si="77"/>
        <v>158832.90075026356</v>
      </c>
      <c r="M59" s="182">
        <f ca="1">IF($M$14="non-compounding",SUM($J$17:J59)+$C$3,IFERROR(IF(I59="win",(M58*(1-$C$10)),(M58*(1-$C$11)))+L59,""))</f>
        <v>219610.79644551748</v>
      </c>
      <c r="N59" s="186">
        <f t="shared" ca="1" si="78"/>
        <v>1.1961079644551749</v>
      </c>
      <c r="O59" s="74"/>
      <c r="Q59">
        <f t="shared" si="79"/>
        <v>43</v>
      </c>
      <c r="R59">
        <f t="shared" ca="1" si="80"/>
        <v>0.12</v>
      </c>
      <c r="S59">
        <v>43</v>
      </c>
      <c r="T59">
        <f t="shared" ca="1" si="13"/>
        <v>-0.04</v>
      </c>
      <c r="U59">
        <f t="shared" ca="1" si="81"/>
        <v>0.12</v>
      </c>
      <c r="V59">
        <f ca="1">COUNTIF($U$17:U58,$C$8)</f>
        <v>14</v>
      </c>
      <c r="W59">
        <f ca="1">COUNTIF($U$17:U58,$C$9)</f>
        <v>28</v>
      </c>
      <c r="AC59">
        <f t="shared" ca="1" si="16"/>
        <v>-0.04</v>
      </c>
      <c r="AD59">
        <f ca="1">COUNTIF($AC$17:AC58,$D$8)</f>
        <v>13</v>
      </c>
      <c r="AE59">
        <f ca="1">COUNTIF($AC$17:AC58,$D$9)</f>
        <v>29</v>
      </c>
      <c r="AF59">
        <f t="shared" ca="1" si="84"/>
        <v>53443.401806384652</v>
      </c>
      <c r="AG59">
        <f t="shared" ca="1" si="34"/>
        <v>-2137.7360722553863</v>
      </c>
      <c r="AH59">
        <f t="shared" ca="1" si="19"/>
        <v>-0.04</v>
      </c>
      <c r="AI59">
        <f t="shared" ca="1" si="18"/>
        <v>51305.665734129267</v>
      </c>
      <c r="AJ59" s="60">
        <f ca="1">IF($M$14="non-compounding",SUM($AG$17:AG59)+$C$3,IFERROR(IF(AH59&gt;0,(AJ58*(1-$D$10)),(AJ58*(1-$D$11)))+AI59,""))</f>
        <v>131470.76844370624</v>
      </c>
    </row>
    <row r="60" spans="1:36" x14ac:dyDescent="0.25">
      <c r="A60" s="74"/>
      <c r="B60" s="76"/>
      <c r="C60" s="76"/>
      <c r="D60" s="76"/>
      <c r="E60" s="76"/>
      <c r="F60" s="74"/>
      <c r="G60" s="232">
        <f t="shared" si="74"/>
        <v>44</v>
      </c>
      <c r="H60" s="182">
        <f t="shared" ca="1" si="82"/>
        <v>87844.318578206992</v>
      </c>
      <c r="I60" s="183" t="str">
        <f t="shared" ca="1" si="75"/>
        <v>LOSS</v>
      </c>
      <c r="J60" s="184">
        <f t="shared" ca="1" si="76"/>
        <v>-3294.1619466827619</v>
      </c>
      <c r="K60" s="185">
        <f t="shared" ca="1" si="83"/>
        <v>-3.7499999999999999E-2</v>
      </c>
      <c r="L60" s="182">
        <f t="shared" ca="1" si="77"/>
        <v>84550.156631524223</v>
      </c>
      <c r="M60" s="182">
        <f ca="1">IF($M$14="non-compounding",SUM($J$17:J60)+$C$3,IFERROR(IF(I60="win",(M59*(1-$C$10)),(M59*(1-$C$11)))+L60,""))</f>
        <v>216316.63449883473</v>
      </c>
      <c r="N60" s="186">
        <f t="shared" ca="1" si="78"/>
        <v>1.1631663449883474</v>
      </c>
      <c r="O60" s="74"/>
      <c r="Q60">
        <f t="shared" si="79"/>
        <v>44</v>
      </c>
      <c r="R60">
        <f t="shared" ca="1" si="80"/>
        <v>-3.7499999999999999E-2</v>
      </c>
      <c r="S60">
        <v>44</v>
      </c>
      <c r="T60">
        <f t="shared" ca="1" si="13"/>
        <v>-0.04</v>
      </c>
      <c r="U60">
        <f t="shared" ca="1" si="81"/>
        <v>-3.7499999999999999E-2</v>
      </c>
      <c r="V60">
        <f ca="1">COUNTIF($U$17:U59,$C$8)</f>
        <v>15</v>
      </c>
      <c r="W60">
        <f ca="1">COUNTIF($U$17:U59,$C$9)</f>
        <v>28</v>
      </c>
      <c r="AC60">
        <f t="shared" ca="1" si="16"/>
        <v>-0.04</v>
      </c>
      <c r="AD60">
        <f ca="1">COUNTIF($AC$17:AC59,$D$8)</f>
        <v>13</v>
      </c>
      <c r="AE60">
        <f ca="1">COUNTIF($AC$17:AC59,$D$9)</f>
        <v>30</v>
      </c>
      <c r="AF60">
        <f t="shared" ca="1" si="84"/>
        <v>52588.307377482502</v>
      </c>
      <c r="AG60">
        <f t="shared" ca="1" si="34"/>
        <v>-2103.5322950993</v>
      </c>
      <c r="AH60">
        <f t="shared" ca="1" si="19"/>
        <v>-0.04</v>
      </c>
      <c r="AI60">
        <f t="shared" ca="1" si="18"/>
        <v>50484.775082383203</v>
      </c>
      <c r="AJ60" s="60">
        <f ca="1">IF($M$14="non-compounding",SUM($AG$17:AG60)+$C$3,IFERROR(IF(AH60&gt;0,(AJ59*(1-$D$10)),(AJ59*(1-$D$11)))+AI60,""))</f>
        <v>129367.23614860694</v>
      </c>
    </row>
    <row r="61" spans="1:36" x14ac:dyDescent="0.25">
      <c r="A61" s="74"/>
      <c r="B61" s="76"/>
      <c r="C61" s="76"/>
      <c r="D61" s="76"/>
      <c r="E61" s="76"/>
      <c r="F61" s="74"/>
      <c r="G61" s="232">
        <f t="shared" si="74"/>
        <v>45</v>
      </c>
      <c r="H61" s="182">
        <f t="shared" ca="1" si="82"/>
        <v>86526.653799533902</v>
      </c>
      <c r="I61" s="183" t="str">
        <f t="shared" ca="1" si="75"/>
        <v>LOSS</v>
      </c>
      <c r="J61" s="184">
        <f t="shared" ca="1" si="76"/>
        <v>-3244.7495174825212</v>
      </c>
      <c r="K61" s="185">
        <f t="shared" ca="1" si="83"/>
        <v>-3.7499999999999999E-2</v>
      </c>
      <c r="L61" s="182">
        <f t="shared" ca="1" si="77"/>
        <v>83281.904282051386</v>
      </c>
      <c r="M61" s="182">
        <f ca="1">IF($M$14="non-compounding",SUM($J$17:J61)+$C$3,IFERROR(IF(I61="win",(M60*(1-$C$10)),(M60*(1-$C$11)))+L61,""))</f>
        <v>213071.8849813522</v>
      </c>
      <c r="N61" s="186">
        <f t="shared" ca="1" si="78"/>
        <v>1.1307188498135219</v>
      </c>
      <c r="O61" s="74"/>
      <c r="Q61">
        <f t="shared" si="79"/>
        <v>45</v>
      </c>
      <c r="R61">
        <f t="shared" ca="1" si="80"/>
        <v>-3.7499999999999999E-2</v>
      </c>
      <c r="S61">
        <v>45</v>
      </c>
      <c r="T61">
        <f t="shared" ca="1" si="13"/>
        <v>0.15</v>
      </c>
      <c r="U61">
        <f t="shared" ca="1" si="81"/>
        <v>-3.7499999999999999E-2</v>
      </c>
      <c r="V61">
        <f ca="1">COUNTIF($U$17:U60,$C$8)</f>
        <v>15</v>
      </c>
      <c r="W61">
        <f ca="1">COUNTIF($U$17:U60,$C$9)</f>
        <v>29</v>
      </c>
      <c r="AC61">
        <f t="shared" ca="1" si="16"/>
        <v>0.15</v>
      </c>
      <c r="AD61">
        <f ca="1">COUNTIF($AC$17:AC60,$D$8)</f>
        <v>13</v>
      </c>
      <c r="AE61">
        <f ca="1">COUNTIF($AC$17:AC60,$D$9)</f>
        <v>31</v>
      </c>
      <c r="AF61">
        <f t="shared" ca="1" si="84"/>
        <v>51746.894459442781</v>
      </c>
      <c r="AG61">
        <f t="shared" ca="1" si="34"/>
        <v>7762.034168916417</v>
      </c>
      <c r="AH61">
        <f t="shared" ca="1" si="19"/>
        <v>0.15</v>
      </c>
      <c r="AI61">
        <f t="shared" ca="1" si="18"/>
        <v>59508.928628359201</v>
      </c>
      <c r="AJ61" s="60">
        <f ca="1">IF($M$14="non-compounding",SUM($AG$17:AG61)+$C$3,IFERROR(IF(AH61&gt;0,(AJ60*(1-$D$10)),(AJ60*(1-$D$11)))+AI61,""))</f>
        <v>137129.27031752336</v>
      </c>
    </row>
    <row r="62" spans="1:36" x14ac:dyDescent="0.25">
      <c r="A62" s="74"/>
      <c r="B62" s="76"/>
      <c r="C62" s="76"/>
      <c r="D62" s="76"/>
      <c r="E62" s="76"/>
      <c r="F62" s="74"/>
      <c r="G62" s="232">
        <f t="shared" si="74"/>
        <v>46</v>
      </c>
      <c r="H62" s="182">
        <f t="shared" ca="1" si="82"/>
        <v>85228.753992540878</v>
      </c>
      <c r="I62" s="183" t="str">
        <f t="shared" ca="1" si="75"/>
        <v>LOSS</v>
      </c>
      <c r="J62" s="184">
        <f t="shared" ca="1" si="76"/>
        <v>-3196.0782747202829</v>
      </c>
      <c r="K62" s="185">
        <f t="shared" ca="1" si="83"/>
        <v>-3.7499999999999999E-2</v>
      </c>
      <c r="L62" s="182">
        <f t="shared" ca="1" si="77"/>
        <v>82032.675717820588</v>
      </c>
      <c r="M62" s="182">
        <f ca="1">IF($M$14="non-compounding",SUM($J$17:J62)+$C$3,IFERROR(IF(I62="win",(M61*(1-$C$10)),(M61*(1-$C$11)))+L62,""))</f>
        <v>209875.80670663191</v>
      </c>
      <c r="N62" s="186">
        <f t="shared" ca="1" si="78"/>
        <v>1.0987580670663191</v>
      </c>
      <c r="O62" s="74"/>
      <c r="Q62">
        <f t="shared" si="79"/>
        <v>46</v>
      </c>
      <c r="R62">
        <f t="shared" ca="1" si="80"/>
        <v>-3.7499999999999999E-2</v>
      </c>
      <c r="S62">
        <v>46</v>
      </c>
      <c r="T62">
        <f t="shared" ca="1" si="13"/>
        <v>0.15</v>
      </c>
      <c r="U62">
        <f t="shared" ca="1" si="81"/>
        <v>-3.7499999999999999E-2</v>
      </c>
      <c r="V62">
        <f ca="1">COUNTIF($U$17:U61,$C$8)</f>
        <v>15</v>
      </c>
      <c r="W62">
        <f ca="1">COUNTIF($U$17:U61,$C$9)</f>
        <v>30</v>
      </c>
      <c r="AC62">
        <f t="shared" ca="1" si="16"/>
        <v>0.15</v>
      </c>
      <c r="AD62">
        <f ca="1">COUNTIF($AC$17:AC61,$D$8)</f>
        <v>14</v>
      </c>
      <c r="AE62">
        <f ca="1">COUNTIF($AC$17:AC61,$D$9)</f>
        <v>31</v>
      </c>
      <c r="AF62">
        <f t="shared" ca="1" si="84"/>
        <v>54851.708127009348</v>
      </c>
      <c r="AG62">
        <f t="shared" ca="1" si="34"/>
        <v>8227.7562190514018</v>
      </c>
      <c r="AH62">
        <f t="shared" ca="1" si="19"/>
        <v>0.15</v>
      </c>
      <c r="AI62">
        <f t="shared" ca="1" si="18"/>
        <v>63079.464346060748</v>
      </c>
      <c r="AJ62" s="60">
        <f ca="1">IF($M$14="non-compounding",SUM($AG$17:AG62)+$C$3,IFERROR(IF(AH62&gt;0,(AJ61*(1-$D$10)),(AJ61*(1-$D$11)))+AI62,""))</f>
        <v>145357.02653657476</v>
      </c>
    </row>
    <row r="63" spans="1:36" x14ac:dyDescent="0.25">
      <c r="A63" s="74"/>
      <c r="B63" s="76"/>
      <c r="C63" s="76"/>
      <c r="D63" s="76"/>
      <c r="E63" s="76"/>
      <c r="F63" s="74"/>
      <c r="G63" s="232">
        <f t="shared" si="74"/>
        <v>47</v>
      </c>
      <c r="H63" s="182">
        <f t="shared" ca="1" si="82"/>
        <v>83950.322682652768</v>
      </c>
      <c r="I63" s="183" t="str">
        <f t="shared" ca="1" si="75"/>
        <v>LOSS</v>
      </c>
      <c r="J63" s="184">
        <f t="shared" ca="1" si="76"/>
        <v>-3148.1371005994788</v>
      </c>
      <c r="K63" s="185">
        <f t="shared" ca="1" si="83"/>
        <v>-3.7499999999999999E-2</v>
      </c>
      <c r="L63" s="182">
        <f t="shared" ca="1" si="77"/>
        <v>80802.185582053295</v>
      </c>
      <c r="M63" s="182">
        <f ca="1">IF($M$14="non-compounding",SUM($J$17:J63)+$C$3,IFERROR(IF(I63="win",(M62*(1-$C$10)),(M62*(1-$C$11)))+L63,""))</f>
        <v>206727.66960603243</v>
      </c>
      <c r="N63" s="186">
        <f t="shared" ca="1" si="78"/>
        <v>1.0672766960603244</v>
      </c>
      <c r="O63" s="74"/>
      <c r="Q63">
        <f t="shared" si="79"/>
        <v>47</v>
      </c>
      <c r="R63">
        <f t="shared" ca="1" si="80"/>
        <v>-3.7499999999999999E-2</v>
      </c>
      <c r="S63">
        <v>47</v>
      </c>
      <c r="T63">
        <f t="shared" ca="1" si="13"/>
        <v>-0.04</v>
      </c>
      <c r="U63">
        <f t="shared" ca="1" si="81"/>
        <v>-3.7499999999999999E-2</v>
      </c>
      <c r="V63">
        <f ca="1">COUNTIF($U$17:U62,$C$8)</f>
        <v>15</v>
      </c>
      <c r="W63">
        <f ca="1">COUNTIF($U$17:U62,$C$9)</f>
        <v>31</v>
      </c>
      <c r="AC63">
        <f t="shared" ca="1" si="16"/>
        <v>-0.04</v>
      </c>
      <c r="AD63">
        <f ca="1">COUNTIF($AC$17:AC62,$D$8)</f>
        <v>15</v>
      </c>
      <c r="AE63">
        <f ca="1">COUNTIF($AC$17:AC62,$D$9)</f>
        <v>31</v>
      </c>
      <c r="AF63">
        <f t="shared" ca="1" si="84"/>
        <v>58142.810614629911</v>
      </c>
      <c r="AG63">
        <f t="shared" ca="1" si="34"/>
        <v>-2325.7124245851965</v>
      </c>
      <c r="AH63">
        <f t="shared" ca="1" si="19"/>
        <v>-0.04</v>
      </c>
      <c r="AI63">
        <f t="shared" ca="1" si="18"/>
        <v>55817.098190044715</v>
      </c>
      <c r="AJ63" s="60">
        <f ca="1">IF($M$14="non-compounding",SUM($AG$17:AG63)+$C$3,IFERROR(IF(AH63&gt;0,(AJ62*(1-$D$10)),(AJ62*(1-$D$11)))+AI63,""))</f>
        <v>143031.31411198957</v>
      </c>
    </row>
    <row r="64" spans="1:36" x14ac:dyDescent="0.25">
      <c r="A64" s="74"/>
      <c r="B64" s="76"/>
      <c r="C64" s="76"/>
      <c r="D64" s="76"/>
      <c r="E64" s="76"/>
      <c r="F64" s="74"/>
      <c r="G64" s="232">
        <f t="shared" si="74"/>
        <v>48</v>
      </c>
      <c r="H64" s="182">
        <f t="shared" ca="1" si="82"/>
        <v>144709.3687242227</v>
      </c>
      <c r="I64" s="183" t="str">
        <f t="shared" ca="1" si="75"/>
        <v>WIN</v>
      </c>
      <c r="J64" s="184">
        <f t="shared" ca="1" si="76"/>
        <v>17365.124246906722</v>
      </c>
      <c r="K64" s="185">
        <f t="shared" ca="1" si="83"/>
        <v>0.12</v>
      </c>
      <c r="L64" s="182">
        <f t="shared" ca="1" si="77"/>
        <v>162074.49297112942</v>
      </c>
      <c r="M64" s="182">
        <f ca="1">IF($M$14="non-compounding",SUM($J$17:J64)+$C$3,IFERROR(IF(I64="win",(M63*(1-$C$10)),(M63*(1-$C$11)))+L64,""))</f>
        <v>224092.79385293915</v>
      </c>
      <c r="N64" s="186">
        <f t="shared" ca="1" si="78"/>
        <v>1.2409279385293916</v>
      </c>
      <c r="O64" s="74"/>
      <c r="Q64">
        <f t="shared" si="79"/>
        <v>48</v>
      </c>
      <c r="R64">
        <f t="shared" ca="1" si="80"/>
        <v>0.12</v>
      </c>
      <c r="S64">
        <v>48</v>
      </c>
      <c r="T64">
        <f t="shared" ca="1" si="13"/>
        <v>0.15</v>
      </c>
      <c r="U64">
        <f t="shared" ca="1" si="81"/>
        <v>0.12</v>
      </c>
      <c r="V64">
        <f ca="1">COUNTIF($U$17:U63,$C$8)</f>
        <v>15</v>
      </c>
      <c r="W64">
        <f ca="1">COUNTIF($U$17:U63,$C$9)</f>
        <v>32</v>
      </c>
      <c r="AC64">
        <f t="shared" ca="1" si="16"/>
        <v>0.15</v>
      </c>
      <c r="AD64">
        <f ca="1">COUNTIF($AC$17:AC63,$D$8)</f>
        <v>15</v>
      </c>
      <c r="AE64">
        <f ca="1">COUNTIF($AC$17:AC63,$D$9)</f>
        <v>32</v>
      </c>
      <c r="AF64">
        <f t="shared" ca="1" si="84"/>
        <v>57212.525644795831</v>
      </c>
      <c r="AG64">
        <f t="shared" ca="1" si="34"/>
        <v>8581.8788467193735</v>
      </c>
      <c r="AH64">
        <f t="shared" ca="1" si="19"/>
        <v>0.15</v>
      </c>
      <c r="AI64">
        <f t="shared" ca="1" si="18"/>
        <v>65794.404491515204</v>
      </c>
      <c r="AJ64" s="60">
        <f ca="1">IF($M$14="non-compounding",SUM($AG$17:AG64)+$C$3,IFERROR(IF(AH64&gt;0,(AJ63*(1-$D$10)),(AJ63*(1-$D$11)))+AI64,""))</f>
        <v>151613.19295870894</v>
      </c>
    </row>
    <row r="65" spans="1:36" x14ac:dyDescent="0.25">
      <c r="A65" s="74"/>
      <c r="B65" s="76"/>
      <c r="C65" s="76"/>
      <c r="D65" s="76"/>
      <c r="E65" s="76"/>
      <c r="F65" s="74"/>
      <c r="G65" s="232">
        <f t="shared" si="74"/>
        <v>49</v>
      </c>
      <c r="H65" s="182">
        <f t="shared" ca="1" si="82"/>
        <v>89637.11754117567</v>
      </c>
      <c r="I65" s="183" t="str">
        <f t="shared" ca="1" si="75"/>
        <v>LOSS</v>
      </c>
      <c r="J65" s="184">
        <f t="shared" ca="1" si="76"/>
        <v>-3361.3919077940877</v>
      </c>
      <c r="K65" s="185">
        <f t="shared" ca="1" si="83"/>
        <v>-3.7499999999999999E-2</v>
      </c>
      <c r="L65" s="182">
        <f t="shared" ca="1" si="77"/>
        <v>86275.725633381589</v>
      </c>
      <c r="M65" s="182">
        <f ca="1">IF($M$14="non-compounding",SUM($J$17:J65)+$C$3,IFERROR(IF(I65="win",(M64*(1-$C$10)),(M64*(1-$C$11)))+L65,""))</f>
        <v>220731.4019451451</v>
      </c>
      <c r="N65" s="186">
        <f t="shared" ca="1" si="78"/>
        <v>1.2073140194514511</v>
      </c>
      <c r="O65" s="74"/>
      <c r="Q65">
        <f t="shared" si="79"/>
        <v>49</v>
      </c>
      <c r="R65">
        <f t="shared" ca="1" si="80"/>
        <v>-3.7499999999999999E-2</v>
      </c>
      <c r="S65">
        <v>49</v>
      </c>
      <c r="T65">
        <f t="shared" ca="1" si="13"/>
        <v>-0.04</v>
      </c>
      <c r="U65">
        <f t="shared" ca="1" si="81"/>
        <v>-3.7499999999999999E-2</v>
      </c>
      <c r="V65">
        <f ca="1">COUNTIF($U$17:U64,$C$8)</f>
        <v>16</v>
      </c>
      <c r="W65">
        <f ca="1">COUNTIF($U$17:U64,$C$9)</f>
        <v>32</v>
      </c>
      <c r="AC65">
        <f t="shared" ca="1" si="16"/>
        <v>-0.04</v>
      </c>
      <c r="AD65">
        <f ca="1">COUNTIF($AC$17:AC64,$D$8)</f>
        <v>16</v>
      </c>
      <c r="AE65">
        <f ca="1">COUNTIF($AC$17:AC64,$D$9)</f>
        <v>32</v>
      </c>
      <c r="AF65">
        <f t="shared" ca="1" si="84"/>
        <v>60645.27718348358</v>
      </c>
      <c r="AG65">
        <f t="shared" ca="1" si="34"/>
        <v>-2425.8110873393434</v>
      </c>
      <c r="AH65">
        <f t="shared" ca="1" si="19"/>
        <v>-0.04</v>
      </c>
      <c r="AI65">
        <f t="shared" ca="1" si="18"/>
        <v>58219.466096144235</v>
      </c>
      <c r="AJ65" s="60">
        <f ca="1">IF($M$14="non-compounding",SUM($AG$17:AG65)+$C$3,IFERROR(IF(AH65&gt;0,(AJ64*(1-$D$10)),(AJ64*(1-$D$11)))+AI65,""))</f>
        <v>149187.38187136961</v>
      </c>
    </row>
    <row r="66" spans="1:36" x14ac:dyDescent="0.25">
      <c r="A66" s="74"/>
      <c r="B66" s="76"/>
      <c r="C66" s="76"/>
      <c r="D66" s="76"/>
      <c r="E66" s="76"/>
      <c r="F66" s="74"/>
      <c r="G66" s="232">
        <f t="shared" si="74"/>
        <v>50</v>
      </c>
      <c r="H66" s="182">
        <f t="shared" ca="1" si="82"/>
        <v>88292.560778058047</v>
      </c>
      <c r="I66" s="183" t="str">
        <f t="shared" ca="1" si="75"/>
        <v>LOSS</v>
      </c>
      <c r="J66" s="184">
        <f t="shared" ca="1" si="76"/>
        <v>-3310.9710291771767</v>
      </c>
      <c r="K66" s="185">
        <f t="shared" ca="1" si="83"/>
        <v>-3.7499999999999999E-2</v>
      </c>
      <c r="L66" s="182">
        <f t="shared" ca="1" si="77"/>
        <v>84981.58974888087</v>
      </c>
      <c r="M66" s="182">
        <f ca="1">IF($M$14="non-compounding",SUM($J$17:J66)+$C$3,IFERROR(IF(I66="win",(M65*(1-$C$10)),(M65*(1-$C$11)))+L66,""))</f>
        <v>217420.43091596791</v>
      </c>
      <c r="N66" s="186">
        <f t="shared" ca="1" si="78"/>
        <v>1.1742043091596792</v>
      </c>
      <c r="O66" s="74"/>
      <c r="Q66">
        <f t="shared" si="79"/>
        <v>50</v>
      </c>
      <c r="R66">
        <f t="shared" ca="1" si="80"/>
        <v>-3.7499999999999999E-2</v>
      </c>
      <c r="S66">
        <v>50</v>
      </c>
      <c r="T66">
        <f t="shared" ca="1" si="13"/>
        <v>0.15</v>
      </c>
      <c r="U66">
        <f t="shared" ca="1" si="81"/>
        <v>-3.7499999999999999E-2</v>
      </c>
      <c r="V66">
        <f ca="1">COUNTIF($U$17:U65,$C$8)</f>
        <v>16</v>
      </c>
      <c r="W66">
        <f ca="1">COUNTIF($U$17:U65,$C$9)</f>
        <v>33</v>
      </c>
      <c r="AC66">
        <f t="shared" ca="1" si="16"/>
        <v>0.15</v>
      </c>
      <c r="AD66">
        <f ca="1">COUNTIF($AC$17:AC65,$D$8)</f>
        <v>16</v>
      </c>
      <c r="AE66">
        <f ca="1">COUNTIF($AC$17:AC65,$D$9)</f>
        <v>33</v>
      </c>
      <c r="AF66">
        <f t="shared" ca="1" si="84"/>
        <v>59674.952748547847</v>
      </c>
      <c r="AG66">
        <f t="shared" ca="1" si="34"/>
        <v>8951.2429122821759</v>
      </c>
      <c r="AH66">
        <f t="shared" ca="1" si="19"/>
        <v>0.15</v>
      </c>
      <c r="AI66">
        <f t="shared" ca="1" si="18"/>
        <v>68626.195660830024</v>
      </c>
      <c r="AJ66" s="60">
        <f ca="1">IF($M$14="non-compounding",SUM($AG$17:AG66)+$C$3,IFERROR(IF(AH66&gt;0,(AJ65*(1-$D$10)),(AJ65*(1-$D$11)))+AI66,""))</f>
        <v>158138.62478365179</v>
      </c>
    </row>
    <row r="67" spans="1:36" x14ac:dyDescent="0.25">
      <c r="A67" s="74"/>
      <c r="B67" s="76"/>
      <c r="C67" s="76"/>
      <c r="D67" s="76"/>
      <c r="E67" s="76"/>
      <c r="F67" s="74"/>
      <c r="G67" s="232">
        <f t="shared" si="74"/>
        <v>51</v>
      </c>
      <c r="H67" s="182">
        <f t="shared" ca="1" si="82"/>
        <v>86968.172366387167</v>
      </c>
      <c r="I67" s="183" t="str">
        <f t="shared" ca="1" si="75"/>
        <v>LOSS</v>
      </c>
      <c r="J67" s="184">
        <f t="shared" ca="1" si="76"/>
        <v>-3261.3064637395187</v>
      </c>
      <c r="K67" s="185">
        <f t="shared" ca="1" si="83"/>
        <v>-3.7499999999999999E-2</v>
      </c>
      <c r="L67" s="182">
        <f t="shared" ca="1" si="77"/>
        <v>83706.865902647653</v>
      </c>
      <c r="M67" s="182">
        <f ca="1">IF($M$14="non-compounding",SUM($J$17:J67)+$C$3,IFERROR(IF(I67="win",(M66*(1-$C$10)),(M66*(1-$C$11)))+L67,""))</f>
        <v>214159.1244522284</v>
      </c>
      <c r="N67" s="186">
        <f t="shared" ca="1" si="78"/>
        <v>1.141591244522284</v>
      </c>
      <c r="O67" s="74"/>
      <c r="Q67">
        <f t="shared" si="79"/>
        <v>51</v>
      </c>
      <c r="R67">
        <f t="shared" ca="1" si="80"/>
        <v>-3.7499999999999999E-2</v>
      </c>
      <c r="S67">
        <v>51</v>
      </c>
      <c r="T67">
        <f t="shared" ca="1" si="13"/>
        <v>-0.04</v>
      </c>
      <c r="U67">
        <f t="shared" ca="1" si="81"/>
        <v>-3.7499999999999999E-2</v>
      </c>
      <c r="V67">
        <f ca="1">COUNTIF($U$17:U66,$C$8)</f>
        <v>16</v>
      </c>
      <c r="W67">
        <f ca="1">COUNTIF($U$17:U66,$C$9)</f>
        <v>34</v>
      </c>
      <c r="AC67">
        <f t="shared" ca="1" si="16"/>
        <v>-0.04</v>
      </c>
      <c r="AD67">
        <f ca="1">COUNTIF($AC$17:AC66,$D$8)</f>
        <v>17</v>
      </c>
      <c r="AE67">
        <f ca="1">COUNTIF($AC$17:AC66,$D$9)</f>
        <v>33</v>
      </c>
      <c r="AF67">
        <f t="shared" ca="1" si="84"/>
        <v>63255.449913460718</v>
      </c>
      <c r="AG67">
        <f t="shared" ca="1" si="34"/>
        <v>-2530.2179965384289</v>
      </c>
      <c r="AH67">
        <f t="shared" ca="1" si="19"/>
        <v>-0.04</v>
      </c>
      <c r="AI67">
        <f t="shared" ca="1" si="18"/>
        <v>60725.23191692229</v>
      </c>
      <c r="AJ67" s="60">
        <f ca="1">IF($M$14="non-compounding",SUM($AG$17:AG67)+$C$3,IFERROR(IF(AH67&gt;0,(AJ66*(1-$D$10)),(AJ66*(1-$D$11)))+AI67,""))</f>
        <v>155608.40678711334</v>
      </c>
    </row>
    <row r="68" spans="1:36" x14ac:dyDescent="0.25">
      <c r="A68" s="74"/>
      <c r="B68" s="76"/>
      <c r="C68" s="76"/>
      <c r="D68" s="76"/>
      <c r="E68" s="76"/>
      <c r="F68" s="74"/>
      <c r="G68" s="232">
        <f t="shared" si="74"/>
        <v>52</v>
      </c>
      <c r="H68" s="182">
        <f t="shared" ca="1" si="82"/>
        <v>85663.64978089137</v>
      </c>
      <c r="I68" s="183" t="str">
        <f t="shared" ca="1" si="75"/>
        <v>LOSS</v>
      </c>
      <c r="J68" s="184">
        <f t="shared" ca="1" si="76"/>
        <v>-3212.3868667834263</v>
      </c>
      <c r="K68" s="185">
        <f t="shared" ca="1" si="83"/>
        <v>-3.7499999999999999E-2</v>
      </c>
      <c r="L68" s="182">
        <f t="shared" ca="1" si="77"/>
        <v>82451.262914107938</v>
      </c>
      <c r="M68" s="182">
        <f ca="1">IF($M$14="non-compounding",SUM($J$17:J68)+$C$3,IFERROR(IF(I68="win",(M67*(1-$C$10)),(M67*(1-$C$11)))+L68,""))</f>
        <v>210946.73758544496</v>
      </c>
      <c r="N68" s="186">
        <f t="shared" ca="1" si="78"/>
        <v>1.1094673758544495</v>
      </c>
      <c r="O68" s="74"/>
      <c r="Q68">
        <f t="shared" si="79"/>
        <v>52</v>
      </c>
      <c r="R68">
        <f t="shared" ca="1" si="80"/>
        <v>-3.7499999999999999E-2</v>
      </c>
      <c r="S68">
        <v>52</v>
      </c>
      <c r="T68">
        <f t="shared" ca="1" si="13"/>
        <v>0.15</v>
      </c>
      <c r="U68">
        <f t="shared" ca="1" si="81"/>
        <v>-3.7499999999999999E-2</v>
      </c>
      <c r="V68">
        <f ca="1">COUNTIF($U$17:U67,$C$8)</f>
        <v>16</v>
      </c>
      <c r="W68">
        <f ca="1">COUNTIF($U$17:U67,$C$9)</f>
        <v>35</v>
      </c>
      <c r="AC68">
        <f t="shared" ca="1" si="16"/>
        <v>0.15</v>
      </c>
      <c r="AD68">
        <f ca="1">COUNTIF($AC$17:AC67,$D$8)</f>
        <v>17</v>
      </c>
      <c r="AE68">
        <f ca="1">COUNTIF($AC$17:AC67,$D$9)</f>
        <v>34</v>
      </c>
      <c r="AF68">
        <f t="shared" ca="1" si="84"/>
        <v>62243.362714845338</v>
      </c>
      <c r="AG68">
        <f t="shared" ca="1" si="34"/>
        <v>9336.504407226801</v>
      </c>
      <c r="AH68">
        <f t="shared" ca="1" si="19"/>
        <v>0.15</v>
      </c>
      <c r="AI68">
        <f t="shared" ca="1" si="18"/>
        <v>71579.867122072144</v>
      </c>
      <c r="AJ68" s="60">
        <f ca="1">IF($M$14="non-compounding",SUM($AG$17:AG68)+$C$3,IFERROR(IF(AH68&gt;0,(AJ67*(1-$D$10)),(AJ67*(1-$D$11)))+AI68,""))</f>
        <v>164944.91119434015</v>
      </c>
    </row>
    <row r="69" spans="1:36" x14ac:dyDescent="0.25">
      <c r="A69" s="74"/>
      <c r="B69" s="76"/>
      <c r="C69" s="76"/>
      <c r="D69" s="76"/>
      <c r="E69" s="76"/>
      <c r="F69" s="74"/>
      <c r="G69" s="232">
        <f t="shared" si="74"/>
        <v>53</v>
      </c>
      <c r="H69" s="182">
        <f t="shared" ca="1" si="82"/>
        <v>84378.695034177988</v>
      </c>
      <c r="I69" s="183" t="str">
        <f t="shared" ca="1" si="75"/>
        <v>LOSS</v>
      </c>
      <c r="J69" s="184">
        <f t="shared" ca="1" si="76"/>
        <v>-3164.2010637816743</v>
      </c>
      <c r="K69" s="185">
        <f t="shared" ca="1" si="83"/>
        <v>-3.7499999999999999E-2</v>
      </c>
      <c r="L69" s="182">
        <f t="shared" ca="1" si="77"/>
        <v>81214.493970396317</v>
      </c>
      <c r="M69" s="182">
        <f ca="1">IF($M$14="non-compounding",SUM($J$17:J69)+$C$3,IFERROR(IF(I69="win",(M68*(1-$C$10)),(M68*(1-$C$11)))+L69,""))</f>
        <v>207782.53652166331</v>
      </c>
      <c r="N69" s="186">
        <f t="shared" ca="1" si="78"/>
        <v>1.077825365216633</v>
      </c>
      <c r="O69" s="74"/>
      <c r="Q69">
        <f t="shared" si="79"/>
        <v>53</v>
      </c>
      <c r="R69">
        <f t="shared" ca="1" si="80"/>
        <v>-3.7499999999999999E-2</v>
      </c>
      <c r="S69">
        <v>53</v>
      </c>
      <c r="T69">
        <f t="shared" ca="1" si="13"/>
        <v>-0.04</v>
      </c>
      <c r="U69">
        <f t="shared" ca="1" si="81"/>
        <v>-3.7499999999999999E-2</v>
      </c>
      <c r="V69">
        <f ca="1">COUNTIF($U$17:U68,$C$8)</f>
        <v>16</v>
      </c>
      <c r="W69">
        <f ca="1">COUNTIF($U$17:U68,$C$9)</f>
        <v>36</v>
      </c>
      <c r="AC69">
        <f t="shared" ca="1" si="16"/>
        <v>-0.04</v>
      </c>
      <c r="AD69">
        <f ca="1">COUNTIF($AC$17:AC68,$D$8)</f>
        <v>18</v>
      </c>
      <c r="AE69">
        <f ca="1">COUNTIF($AC$17:AC68,$D$9)</f>
        <v>34</v>
      </c>
      <c r="AF69">
        <f t="shared" ca="1" si="84"/>
        <v>65977.964477736066</v>
      </c>
      <c r="AG69">
        <f t="shared" ca="1" si="34"/>
        <v>-2639.1185791094426</v>
      </c>
      <c r="AH69">
        <f t="shared" ca="1" si="19"/>
        <v>-0.04</v>
      </c>
      <c r="AI69">
        <f t="shared" ca="1" si="18"/>
        <v>63338.845898626627</v>
      </c>
      <c r="AJ69" s="60">
        <f ca="1">IF($M$14="non-compounding",SUM($AG$17:AG69)+$C$3,IFERROR(IF(AH69&gt;0,(AJ68*(1-$D$10)),(AJ68*(1-$D$11)))+AI69,""))</f>
        <v>162305.79261523072</v>
      </c>
    </row>
    <row r="70" spans="1:36" x14ac:dyDescent="0.25">
      <c r="A70" s="74"/>
      <c r="B70" s="76"/>
      <c r="C70" s="76"/>
      <c r="D70" s="76"/>
      <c r="E70" s="76"/>
      <c r="F70" s="74"/>
      <c r="G70" s="232">
        <f t="shared" si="74"/>
        <v>54</v>
      </c>
      <c r="H70" s="182">
        <f t="shared" ca="1" si="82"/>
        <v>83113.014608665326</v>
      </c>
      <c r="I70" s="183" t="str">
        <f t="shared" ca="1" si="75"/>
        <v>LOSS</v>
      </c>
      <c r="J70" s="184">
        <f t="shared" ca="1" si="76"/>
        <v>-3116.7380478249497</v>
      </c>
      <c r="K70" s="185">
        <f t="shared" ca="1" si="83"/>
        <v>-3.7499999999999999E-2</v>
      </c>
      <c r="L70" s="182">
        <f t="shared" ca="1" si="77"/>
        <v>79996.276560840372</v>
      </c>
      <c r="M70" s="182">
        <f ca="1">IF($M$14="non-compounding",SUM($J$17:J70)+$C$3,IFERROR(IF(I70="win",(M69*(1-$C$10)),(M69*(1-$C$11)))+L70,""))</f>
        <v>204665.79847383837</v>
      </c>
      <c r="N70" s="186">
        <f t="shared" ca="1" si="78"/>
        <v>1.0466579847383837</v>
      </c>
      <c r="O70" s="74"/>
      <c r="Q70">
        <f t="shared" si="79"/>
        <v>54</v>
      </c>
      <c r="R70">
        <f t="shared" ca="1" si="80"/>
        <v>-3.7499999999999999E-2</v>
      </c>
      <c r="S70">
        <v>54</v>
      </c>
      <c r="T70">
        <f t="shared" ca="1" si="13"/>
        <v>0.15</v>
      </c>
      <c r="U70">
        <f t="shared" ca="1" si="81"/>
        <v>-3.7499999999999999E-2</v>
      </c>
      <c r="V70">
        <f ca="1">COUNTIF($U$17:U69,$C$8)</f>
        <v>16</v>
      </c>
      <c r="W70">
        <f ca="1">COUNTIF($U$17:U69,$C$9)</f>
        <v>37</v>
      </c>
      <c r="AC70">
        <f t="shared" ca="1" si="16"/>
        <v>0.15</v>
      </c>
      <c r="AD70">
        <f ca="1">COUNTIF($AC$17:AC69,$D$8)</f>
        <v>18</v>
      </c>
      <c r="AE70">
        <f ca="1">COUNTIF($AC$17:AC69,$D$9)</f>
        <v>35</v>
      </c>
      <c r="AF70">
        <f t="shared" ca="1" si="84"/>
        <v>64922.317046092292</v>
      </c>
      <c r="AG70">
        <f t="shared" ca="1" si="34"/>
        <v>9738.3475569138427</v>
      </c>
      <c r="AH70">
        <f t="shared" ca="1" si="19"/>
        <v>0.15</v>
      </c>
      <c r="AI70">
        <f t="shared" ca="1" si="18"/>
        <v>74660.664603006138</v>
      </c>
      <c r="AJ70" s="60">
        <f ca="1">IF($M$14="non-compounding",SUM($AG$17:AG70)+$C$3,IFERROR(IF(AH70&gt;0,(AJ69*(1-$D$10)),(AJ69*(1-$D$11)))+AI70,""))</f>
        <v>172044.14017214457</v>
      </c>
    </row>
    <row r="71" spans="1:36" x14ac:dyDescent="0.25">
      <c r="A71" s="74"/>
      <c r="B71" s="76"/>
      <c r="C71" s="76"/>
      <c r="D71" s="76"/>
      <c r="E71" s="76"/>
      <c r="F71" s="74"/>
      <c r="G71" s="232">
        <f t="shared" si="74"/>
        <v>55</v>
      </c>
      <c r="H71" s="182">
        <f t="shared" ca="1" si="82"/>
        <v>81866.319389535347</v>
      </c>
      <c r="I71" s="183" t="str">
        <f t="shared" ca="1" si="75"/>
        <v>LOSS</v>
      </c>
      <c r="J71" s="184">
        <f t="shared" ca="1" si="76"/>
        <v>-3069.9869771075755</v>
      </c>
      <c r="K71" s="185">
        <f t="shared" ca="1" si="83"/>
        <v>-3.7499999999999999E-2</v>
      </c>
      <c r="L71" s="182">
        <f t="shared" ca="1" si="77"/>
        <v>78796.332412427771</v>
      </c>
      <c r="M71" s="182">
        <f ca="1">IF($M$14="non-compounding",SUM($J$17:J71)+$C$3,IFERROR(IF(I71="win",(M70*(1-$C$10)),(M70*(1-$C$11)))+L71,""))</f>
        <v>201595.81149673078</v>
      </c>
      <c r="N71" s="186">
        <f t="shared" ca="1" si="78"/>
        <v>1.0159581149673078</v>
      </c>
      <c r="O71" s="74"/>
      <c r="Q71">
        <f t="shared" si="79"/>
        <v>55</v>
      </c>
      <c r="R71">
        <f t="shared" ca="1" si="80"/>
        <v>-3.7499999999999999E-2</v>
      </c>
      <c r="S71">
        <v>55</v>
      </c>
      <c r="T71">
        <f t="shared" ca="1" si="13"/>
        <v>-0.04</v>
      </c>
      <c r="U71">
        <f t="shared" ca="1" si="81"/>
        <v>-3.7499999999999999E-2</v>
      </c>
      <c r="V71">
        <f ca="1">COUNTIF($U$17:U70,$C$8)</f>
        <v>16</v>
      </c>
      <c r="W71">
        <f ca="1">COUNTIF($U$17:U70,$C$9)</f>
        <v>38</v>
      </c>
      <c r="AC71">
        <f t="shared" ca="1" si="16"/>
        <v>-0.04</v>
      </c>
      <c r="AD71">
        <f ca="1">COUNTIF($AC$17:AC70,$D$8)</f>
        <v>19</v>
      </c>
      <c r="AE71">
        <f ca="1">COUNTIF($AC$17:AC70,$D$9)</f>
        <v>35</v>
      </c>
      <c r="AF71">
        <f t="shared" ca="1" si="84"/>
        <v>68817.656068857832</v>
      </c>
      <c r="AG71">
        <f t="shared" ca="1" si="34"/>
        <v>-2752.7062427543133</v>
      </c>
      <c r="AH71">
        <f t="shared" ca="1" si="19"/>
        <v>-0.04</v>
      </c>
      <c r="AI71">
        <f t="shared" ca="1" si="18"/>
        <v>66064.949826103519</v>
      </c>
      <c r="AJ71" s="60">
        <f ca="1">IF($M$14="non-compounding",SUM($AG$17:AG71)+$C$3,IFERROR(IF(AH71&gt;0,(AJ70*(1-$D$10)),(AJ70*(1-$D$11)))+AI71,""))</f>
        <v>169291.43392939027</v>
      </c>
    </row>
    <row r="72" spans="1:36" x14ac:dyDescent="0.25">
      <c r="A72" s="74"/>
      <c r="B72" s="76"/>
      <c r="C72" s="76"/>
      <c r="D72" s="76"/>
      <c r="E72" s="76"/>
      <c r="F72" s="74"/>
      <c r="G72" s="232">
        <f t="shared" si="74"/>
        <v>56</v>
      </c>
      <c r="H72" s="182">
        <f t="shared" ca="1" si="82"/>
        <v>80638.324598692314</v>
      </c>
      <c r="I72" s="183" t="str">
        <f t="shared" ca="1" si="75"/>
        <v>LOSS</v>
      </c>
      <c r="J72" s="184">
        <f t="shared" ca="1" si="76"/>
        <v>-3023.9371724509615</v>
      </c>
      <c r="K72" s="185">
        <f t="shared" ca="1" si="83"/>
        <v>-3.7499999999999999E-2</v>
      </c>
      <c r="L72" s="182">
        <f t="shared" ca="1" si="77"/>
        <v>77614.387426241359</v>
      </c>
      <c r="M72" s="182">
        <f ca="1">IF($M$14="non-compounding",SUM($J$17:J72)+$C$3,IFERROR(IF(I72="win",(M71*(1-$C$10)),(M71*(1-$C$11)))+L72,""))</f>
        <v>198571.87432427984</v>
      </c>
      <c r="N72" s="186">
        <f t="shared" ca="1" si="78"/>
        <v>0.9857187432427984</v>
      </c>
      <c r="O72" s="74"/>
      <c r="Q72">
        <f t="shared" si="79"/>
        <v>56</v>
      </c>
      <c r="R72">
        <f t="shared" ca="1" si="80"/>
        <v>-3.7499999999999999E-2</v>
      </c>
      <c r="S72">
        <v>56</v>
      </c>
      <c r="T72">
        <f t="shared" ca="1" si="13"/>
        <v>0.15</v>
      </c>
      <c r="U72">
        <f t="shared" ca="1" si="81"/>
        <v>-3.7499999999999999E-2</v>
      </c>
      <c r="V72">
        <f ca="1">COUNTIF($U$17:U71,$C$8)</f>
        <v>16</v>
      </c>
      <c r="W72">
        <f ca="1">COUNTIF($U$17:U71,$C$9)</f>
        <v>39</v>
      </c>
      <c r="AC72">
        <f t="shared" ca="1" si="16"/>
        <v>0.15</v>
      </c>
      <c r="AD72">
        <f ca="1">COUNTIF($AC$17:AC71,$D$8)</f>
        <v>19</v>
      </c>
      <c r="AE72">
        <f ca="1">COUNTIF($AC$17:AC71,$D$9)</f>
        <v>36</v>
      </c>
      <c r="AF72">
        <f t="shared" ca="1" si="84"/>
        <v>67716.573571756118</v>
      </c>
      <c r="AG72">
        <f t="shared" ca="1" si="34"/>
        <v>10157.486035763417</v>
      </c>
      <c r="AH72">
        <f t="shared" ca="1" si="19"/>
        <v>0.15</v>
      </c>
      <c r="AI72">
        <f t="shared" ca="1" si="18"/>
        <v>77874.059607519535</v>
      </c>
      <c r="AJ72" s="60">
        <f ca="1">IF($M$14="non-compounding",SUM($AG$17:AG72)+$C$3,IFERROR(IF(AH72&gt;0,(AJ71*(1-$D$10)),(AJ71*(1-$D$11)))+AI72,""))</f>
        <v>179448.91996515368</v>
      </c>
    </row>
    <row r="73" spans="1:36" x14ac:dyDescent="0.25">
      <c r="A73" s="74"/>
      <c r="B73" s="76"/>
      <c r="C73" s="76"/>
      <c r="D73" s="76"/>
      <c r="E73" s="76"/>
      <c r="F73" s="74"/>
      <c r="G73" s="232">
        <f t="shared" si="74"/>
        <v>57</v>
      </c>
      <c r="H73" s="182">
        <f t="shared" ca="1" si="82"/>
        <v>139000.31202699587</v>
      </c>
      <c r="I73" s="183" t="str">
        <f t="shared" ca="1" si="75"/>
        <v>WIN</v>
      </c>
      <c r="J73" s="184">
        <f t="shared" ca="1" si="76"/>
        <v>16680.037443239504</v>
      </c>
      <c r="K73" s="185">
        <f t="shared" ca="1" si="83"/>
        <v>0.12</v>
      </c>
      <c r="L73" s="182">
        <f t="shared" ca="1" si="77"/>
        <v>155680.34947023538</v>
      </c>
      <c r="M73" s="182">
        <f ca="1">IF($M$14="non-compounding",SUM($J$17:J73)+$C$3,IFERROR(IF(I73="win",(M72*(1-$C$10)),(M72*(1-$C$11)))+L73,""))</f>
        <v>215251.91176751934</v>
      </c>
      <c r="N73" s="186">
        <f t="shared" ca="1" si="78"/>
        <v>1.1525191176751934</v>
      </c>
      <c r="O73" s="74"/>
      <c r="Q73">
        <f t="shared" si="79"/>
        <v>57</v>
      </c>
      <c r="R73">
        <f t="shared" ca="1" si="80"/>
        <v>0.12</v>
      </c>
      <c r="S73">
        <v>57</v>
      </c>
      <c r="T73">
        <f t="shared" ca="1" si="13"/>
        <v>-0.04</v>
      </c>
      <c r="U73">
        <f t="shared" ca="1" si="81"/>
        <v>0.12</v>
      </c>
      <c r="V73">
        <f ca="1">COUNTIF($U$17:U72,$C$8)</f>
        <v>16</v>
      </c>
      <c r="W73">
        <f ca="1">COUNTIF($U$17:U72,$C$9)</f>
        <v>40</v>
      </c>
      <c r="AC73">
        <f t="shared" ca="1" si="16"/>
        <v>-0.04</v>
      </c>
      <c r="AD73">
        <f ca="1">COUNTIF($AC$17:AC72,$D$8)</f>
        <v>20</v>
      </c>
      <c r="AE73">
        <f ca="1">COUNTIF($AC$17:AC72,$D$9)</f>
        <v>36</v>
      </c>
      <c r="AF73">
        <f t="shared" ca="1" si="84"/>
        <v>71779.567986061476</v>
      </c>
      <c r="AG73">
        <f t="shared" ca="1" si="34"/>
        <v>-2871.1827194424591</v>
      </c>
      <c r="AH73">
        <f t="shared" ca="1" si="19"/>
        <v>-0.04</v>
      </c>
      <c r="AI73">
        <f t="shared" ca="1" si="18"/>
        <v>68908.385266619021</v>
      </c>
      <c r="AJ73" s="60">
        <f ca="1">IF($M$14="non-compounding",SUM($AG$17:AG73)+$C$3,IFERROR(IF(AH73&gt;0,(AJ72*(1-$D$10)),(AJ72*(1-$D$11)))+AI73,""))</f>
        <v>176577.73724571121</v>
      </c>
    </row>
    <row r="74" spans="1:36" x14ac:dyDescent="0.25">
      <c r="A74" s="74"/>
      <c r="B74" s="76"/>
      <c r="C74" s="76"/>
      <c r="D74" s="76"/>
      <c r="E74" s="76"/>
      <c r="F74" s="74"/>
      <c r="G74" s="232">
        <f t="shared" si="74"/>
        <v>58</v>
      </c>
      <c r="H74" s="182">
        <f t="shared" ca="1" si="82"/>
        <v>86100.764707007736</v>
      </c>
      <c r="I74" s="183" t="str">
        <f t="shared" ca="1" si="75"/>
        <v>LOSS</v>
      </c>
      <c r="J74" s="184">
        <f t="shared" ca="1" si="76"/>
        <v>-3228.7786765127898</v>
      </c>
      <c r="K74" s="185">
        <f t="shared" ca="1" si="83"/>
        <v>-3.7499999999999999E-2</v>
      </c>
      <c r="L74" s="182">
        <f t="shared" ca="1" si="77"/>
        <v>82871.98603049494</v>
      </c>
      <c r="M74" s="182">
        <f ca="1">IF($M$14="non-compounding",SUM($J$17:J74)+$C$3,IFERROR(IF(I74="win",(M73*(1-$C$10)),(M73*(1-$C$11)))+L74,""))</f>
        <v>212023.13309100654</v>
      </c>
      <c r="N74" s="186">
        <f t="shared" ca="1" si="78"/>
        <v>1.1202313309100655</v>
      </c>
      <c r="O74" s="74"/>
      <c r="Q74">
        <f t="shared" si="79"/>
        <v>58</v>
      </c>
      <c r="R74">
        <f t="shared" ca="1" si="80"/>
        <v>-3.7499999999999999E-2</v>
      </c>
      <c r="S74">
        <v>58</v>
      </c>
      <c r="T74">
        <f t="shared" ca="1" si="13"/>
        <v>-0.04</v>
      </c>
      <c r="U74">
        <f t="shared" ca="1" si="81"/>
        <v>-3.7499999999999999E-2</v>
      </c>
      <c r="V74">
        <f ca="1">COUNTIF($U$17:U73,$C$8)</f>
        <v>17</v>
      </c>
      <c r="W74">
        <f ca="1">COUNTIF($U$17:U73,$C$9)</f>
        <v>40</v>
      </c>
      <c r="AC74">
        <f t="shared" ca="1" si="16"/>
        <v>-0.04</v>
      </c>
      <c r="AD74">
        <f ca="1">COUNTIF($AC$17:AC73,$D$8)</f>
        <v>20</v>
      </c>
      <c r="AE74">
        <f ca="1">COUNTIF($AC$17:AC73,$D$9)</f>
        <v>37</v>
      </c>
      <c r="AF74">
        <f t="shared" ca="1" si="84"/>
        <v>70631.094898284486</v>
      </c>
      <c r="AG74">
        <f t="shared" ca="1" si="34"/>
        <v>-2825.2437959313793</v>
      </c>
      <c r="AH74">
        <f t="shared" ca="1" si="19"/>
        <v>-0.04</v>
      </c>
      <c r="AI74">
        <f t="shared" ca="1" si="18"/>
        <v>67805.851102353103</v>
      </c>
      <c r="AJ74" s="60">
        <f ca="1">IF($M$14="non-compounding",SUM($AG$17:AG74)+$C$3,IFERROR(IF(AH74&gt;0,(AJ73*(1-$D$10)),(AJ73*(1-$D$11)))+AI74,""))</f>
        <v>173752.49344977981</v>
      </c>
    </row>
    <row r="75" spans="1:36" x14ac:dyDescent="0.25">
      <c r="A75" s="74"/>
      <c r="B75" s="76"/>
      <c r="C75" s="76"/>
      <c r="D75" s="76"/>
      <c r="E75" s="76"/>
      <c r="F75" s="74"/>
      <c r="G75" s="232">
        <f t="shared" si="74"/>
        <v>59</v>
      </c>
      <c r="H75" s="182">
        <f t="shared" ca="1" si="82"/>
        <v>84809.253236402626</v>
      </c>
      <c r="I75" s="183" t="str">
        <f t="shared" ca="1" si="75"/>
        <v>LOSS</v>
      </c>
      <c r="J75" s="184">
        <f t="shared" ca="1" si="76"/>
        <v>-3180.3469963650982</v>
      </c>
      <c r="K75" s="185">
        <f t="shared" ca="1" si="83"/>
        <v>-3.7499999999999999E-2</v>
      </c>
      <c r="L75" s="182">
        <f t="shared" ca="1" si="77"/>
        <v>81628.906240037526</v>
      </c>
      <c r="M75" s="182">
        <f ca="1">IF($M$14="non-compounding",SUM($J$17:J75)+$C$3,IFERROR(IF(I75="win",(M74*(1-$C$10)),(M74*(1-$C$11)))+L75,""))</f>
        <v>208842.78609464143</v>
      </c>
      <c r="N75" s="186">
        <f t="shared" ca="1" si="78"/>
        <v>1.0884278609464142</v>
      </c>
      <c r="O75" s="74"/>
      <c r="Q75">
        <f t="shared" si="79"/>
        <v>59</v>
      </c>
      <c r="R75">
        <f t="shared" ca="1" si="80"/>
        <v>-3.7499999999999999E-2</v>
      </c>
      <c r="S75">
        <v>59</v>
      </c>
      <c r="T75">
        <f t="shared" ca="1" si="13"/>
        <v>-0.04</v>
      </c>
      <c r="U75">
        <f t="shared" ca="1" si="81"/>
        <v>-3.7499999999999999E-2</v>
      </c>
      <c r="V75">
        <f ca="1">COUNTIF($U$17:U74,$C$8)</f>
        <v>17</v>
      </c>
      <c r="W75">
        <f ca="1">COUNTIF($U$17:U74,$C$9)</f>
        <v>41</v>
      </c>
      <c r="AC75">
        <f t="shared" ca="1" si="16"/>
        <v>-0.04</v>
      </c>
      <c r="AD75">
        <f ca="1">COUNTIF($AC$17:AC74,$D$8)</f>
        <v>20</v>
      </c>
      <c r="AE75">
        <f ca="1">COUNTIF($AC$17:AC74,$D$9)</f>
        <v>38</v>
      </c>
      <c r="AF75">
        <f t="shared" ca="1" si="84"/>
        <v>69500.997379911933</v>
      </c>
      <c r="AG75">
        <f t="shared" ca="1" si="34"/>
        <v>-2780.0398951964776</v>
      </c>
      <c r="AH75">
        <f t="shared" ca="1" si="19"/>
        <v>-0.04</v>
      </c>
      <c r="AI75">
        <f t="shared" ca="1" si="18"/>
        <v>66720.957484715458</v>
      </c>
      <c r="AJ75" s="60">
        <f ca="1">IF($M$14="non-compounding",SUM($AG$17:AG75)+$C$3,IFERROR(IF(AH75&gt;0,(AJ74*(1-$D$10)),(AJ74*(1-$D$11)))+AI75,""))</f>
        <v>170972.45355458334</v>
      </c>
    </row>
    <row r="76" spans="1:36" x14ac:dyDescent="0.25">
      <c r="A76" s="74"/>
      <c r="B76" s="76"/>
      <c r="C76" s="76"/>
      <c r="D76" s="76"/>
      <c r="E76" s="76"/>
      <c r="F76" s="74"/>
      <c r="G76" s="232">
        <f t="shared" si="74"/>
        <v>60</v>
      </c>
      <c r="H76" s="182">
        <f t="shared" ca="1" si="82"/>
        <v>83537.11443785658</v>
      </c>
      <c r="I76" s="183" t="str">
        <f t="shared" ca="1" si="75"/>
        <v>LOSS</v>
      </c>
      <c r="J76" s="184">
        <f t="shared" ca="1" si="76"/>
        <v>-3132.6417914196218</v>
      </c>
      <c r="K76" s="185">
        <f t="shared" ca="1" si="83"/>
        <v>-3.7499999999999999E-2</v>
      </c>
      <c r="L76" s="182">
        <f t="shared" ca="1" si="77"/>
        <v>80404.47264643696</v>
      </c>
      <c r="M76" s="182">
        <f ca="1">IF($M$14="non-compounding",SUM($J$17:J76)+$C$3,IFERROR(IF(I76="win",(M75*(1-$C$10)),(M75*(1-$C$11)))+L76,""))</f>
        <v>205710.14430322181</v>
      </c>
      <c r="N76" s="186">
        <f t="shared" ca="1" si="78"/>
        <v>1.0571014430322181</v>
      </c>
      <c r="O76" s="74"/>
      <c r="Q76">
        <f t="shared" si="79"/>
        <v>60</v>
      </c>
      <c r="R76">
        <f t="shared" ca="1" si="80"/>
        <v>-3.7499999999999999E-2</v>
      </c>
      <c r="S76">
        <v>60</v>
      </c>
      <c r="T76">
        <f t="shared" ca="1" si="13"/>
        <v>-0.04</v>
      </c>
      <c r="U76">
        <f t="shared" ca="1" si="81"/>
        <v>-3.7499999999999999E-2</v>
      </c>
      <c r="V76">
        <f ca="1">COUNTIF($U$17:U75,$C$8)</f>
        <v>17</v>
      </c>
      <c r="W76">
        <f ca="1">COUNTIF($U$17:U75,$C$9)</f>
        <v>42</v>
      </c>
      <c r="AC76">
        <f t="shared" ca="1" si="16"/>
        <v>-0.04</v>
      </c>
      <c r="AD76">
        <f ca="1">COUNTIF($AC$17:AC75,$D$8)</f>
        <v>20</v>
      </c>
      <c r="AE76">
        <f ca="1">COUNTIF($AC$17:AC75,$D$9)</f>
        <v>39</v>
      </c>
      <c r="AF76">
        <f t="shared" ca="1" si="84"/>
        <v>68388.981421833334</v>
      </c>
      <c r="AG76">
        <f t="shared" ca="1" si="34"/>
        <v>-2735.5592568733332</v>
      </c>
      <c r="AH76">
        <f t="shared" ca="1" si="19"/>
        <v>-0.04</v>
      </c>
      <c r="AI76">
        <f t="shared" ca="1" si="18"/>
        <v>65653.422164960008</v>
      </c>
      <c r="AJ76" s="60">
        <f ca="1">IF($M$14="non-compounding",SUM($AG$17:AG76)+$C$3,IFERROR(IF(AH76&gt;0,(AJ75*(1-$D$10)),(AJ75*(1-$D$11)))+AI76,""))</f>
        <v>168236.89429771001</v>
      </c>
    </row>
    <row r="77" spans="1:36" x14ac:dyDescent="0.25">
      <c r="A77" s="74"/>
      <c r="B77" s="76"/>
      <c r="C77" s="76"/>
      <c r="D77" s="76"/>
      <c r="E77" s="76"/>
      <c r="F77" s="74"/>
      <c r="G77" s="232">
        <f t="shared" si="74"/>
        <v>61</v>
      </c>
      <c r="H77" s="182">
        <f t="shared" ca="1" si="82"/>
        <v>82284.057721288729</v>
      </c>
      <c r="I77" s="183" t="str">
        <f t="shared" ca="1" si="75"/>
        <v>LOSS</v>
      </c>
      <c r="J77" s="184">
        <f t="shared" ca="1" si="76"/>
        <v>-3085.6521645483272</v>
      </c>
      <c r="K77" s="185">
        <f t="shared" ca="1" si="83"/>
        <v>-3.7499999999999999E-2</v>
      </c>
      <c r="L77" s="182">
        <f t="shared" ca="1" si="77"/>
        <v>79198.405556740399</v>
      </c>
      <c r="M77" s="182">
        <f ca="1">IF($M$14="non-compounding",SUM($J$17:J77)+$C$3,IFERROR(IF(I77="win",(M76*(1-$C$10)),(M76*(1-$C$11)))+L77,""))</f>
        <v>202624.49213867349</v>
      </c>
      <c r="N77" s="186">
        <f t="shared" ca="1" si="78"/>
        <v>1.0262449213867348</v>
      </c>
      <c r="O77" s="74"/>
      <c r="Q77">
        <f t="shared" si="79"/>
        <v>61</v>
      </c>
      <c r="R77">
        <f t="shared" ca="1" si="80"/>
        <v>-3.7499999999999999E-2</v>
      </c>
      <c r="S77">
        <v>61</v>
      </c>
      <c r="T77">
        <f t="shared" ca="1" si="13"/>
        <v>-0.04</v>
      </c>
      <c r="U77">
        <f t="shared" ca="1" si="81"/>
        <v>-3.7499999999999999E-2</v>
      </c>
      <c r="V77">
        <f ca="1">COUNTIF($U$17:U76,$C$8)</f>
        <v>17</v>
      </c>
      <c r="W77">
        <f ca="1">COUNTIF($U$17:U76,$C$9)</f>
        <v>43</v>
      </c>
      <c r="AC77">
        <f t="shared" ca="1" si="16"/>
        <v>-0.04</v>
      </c>
      <c r="AD77">
        <f ca="1">COUNTIF($AC$17:AC76,$D$8)</f>
        <v>20</v>
      </c>
      <c r="AE77">
        <f ca="1">COUNTIF($AC$17:AC76,$D$9)</f>
        <v>40</v>
      </c>
      <c r="AF77">
        <f t="shared" ca="1" si="84"/>
        <v>67294.757719084009</v>
      </c>
      <c r="AG77">
        <f t="shared" ca="1" si="34"/>
        <v>-2691.7903087633604</v>
      </c>
      <c r="AH77">
        <f t="shared" ca="1" si="19"/>
        <v>-0.04</v>
      </c>
      <c r="AI77">
        <f t="shared" ca="1" si="18"/>
        <v>64602.967410320649</v>
      </c>
      <c r="AJ77" s="60">
        <f ca="1">IF($M$14="non-compounding",SUM($AG$17:AG77)+$C$3,IFERROR(IF(AH77&gt;0,(AJ76*(1-$D$10)),(AJ76*(1-$D$11)))+AI77,""))</f>
        <v>165545.10398894665</v>
      </c>
    </row>
    <row r="78" spans="1:36" x14ac:dyDescent="0.25">
      <c r="A78" s="74"/>
      <c r="B78" s="76"/>
      <c r="C78" s="76"/>
      <c r="D78" s="76"/>
      <c r="E78" s="76"/>
      <c r="F78" s="74"/>
      <c r="G78" s="232">
        <f t="shared" si="74"/>
        <v>62</v>
      </c>
      <c r="H78" s="182">
        <f t="shared" ca="1" si="82"/>
        <v>141837.14449707142</v>
      </c>
      <c r="I78" s="183" t="str">
        <f t="shared" ca="1" si="75"/>
        <v>WIN</v>
      </c>
      <c r="J78" s="184">
        <f t="shared" ca="1" si="76"/>
        <v>17020.457339648568</v>
      </c>
      <c r="K78" s="185">
        <f t="shared" ca="1" si="83"/>
        <v>0.12</v>
      </c>
      <c r="L78" s="182">
        <f t="shared" ca="1" si="77"/>
        <v>158857.60183671999</v>
      </c>
      <c r="M78" s="182">
        <f ca="1">IF($M$14="non-compounding",SUM($J$17:J78)+$C$3,IFERROR(IF(I78="win",(M77*(1-$C$10)),(M77*(1-$C$11)))+L78,""))</f>
        <v>219644.94947832206</v>
      </c>
      <c r="N78" s="186">
        <f t="shared" ca="1" si="78"/>
        <v>1.1964494947832205</v>
      </c>
      <c r="O78" s="74"/>
      <c r="Q78">
        <f t="shared" si="79"/>
        <v>62</v>
      </c>
      <c r="R78">
        <f t="shared" ca="1" si="80"/>
        <v>0.12</v>
      </c>
      <c r="S78">
        <v>62</v>
      </c>
      <c r="T78">
        <f t="shared" ca="1" si="13"/>
        <v>-0.04</v>
      </c>
      <c r="U78">
        <f t="shared" ca="1" si="81"/>
        <v>0.12</v>
      </c>
      <c r="V78">
        <f ca="1">COUNTIF($U$17:U77,$C$8)</f>
        <v>17</v>
      </c>
      <c r="W78">
        <f ca="1">COUNTIF($U$17:U77,$C$9)</f>
        <v>44</v>
      </c>
      <c r="AC78">
        <f t="shared" ca="1" si="16"/>
        <v>-0.04</v>
      </c>
      <c r="AD78">
        <f ca="1">COUNTIF($AC$17:AC77,$D$8)</f>
        <v>20</v>
      </c>
      <c r="AE78">
        <f ca="1">COUNTIF($AC$17:AC77,$D$9)</f>
        <v>41</v>
      </c>
      <c r="AF78">
        <f t="shared" ca="1" si="84"/>
        <v>66218.041595578659</v>
      </c>
      <c r="AG78">
        <f t="shared" ca="1" si="34"/>
        <v>-2648.7216638231466</v>
      </c>
      <c r="AH78">
        <f t="shared" ca="1" si="19"/>
        <v>-0.04</v>
      </c>
      <c r="AI78">
        <f t="shared" ca="1" si="18"/>
        <v>63569.319931755512</v>
      </c>
      <c r="AJ78" s="60">
        <f ca="1">IF($M$14="non-compounding",SUM($AG$17:AG78)+$C$3,IFERROR(IF(AH78&gt;0,(AJ77*(1-$D$10)),(AJ77*(1-$D$11)))+AI78,""))</f>
        <v>162896.3823251235</v>
      </c>
    </row>
    <row r="79" spans="1:36" x14ac:dyDescent="0.25">
      <c r="A79" s="74"/>
      <c r="B79" s="76"/>
      <c r="C79" s="76"/>
      <c r="D79" s="76"/>
      <c r="E79" s="76"/>
      <c r="F79" s="74"/>
      <c r="G79" s="232">
        <f t="shared" si="74"/>
        <v>63</v>
      </c>
      <c r="H79" s="182">
        <f t="shared" ca="1" si="82"/>
        <v>87857.979791328835</v>
      </c>
      <c r="I79" s="183" t="str">
        <f t="shared" ca="1" si="75"/>
        <v>LOSS</v>
      </c>
      <c r="J79" s="184">
        <f t="shared" ca="1" si="76"/>
        <v>-3294.6742421748313</v>
      </c>
      <c r="K79" s="185">
        <f t="shared" ca="1" si="83"/>
        <v>-3.7499999999999999E-2</v>
      </c>
      <c r="L79" s="182">
        <f t="shared" ca="1" si="77"/>
        <v>84563.305549154</v>
      </c>
      <c r="M79" s="182">
        <f ca="1">IF($M$14="non-compounding",SUM($J$17:J79)+$C$3,IFERROR(IF(I79="win",(M78*(1-$C$10)),(M78*(1-$C$11)))+L79,""))</f>
        <v>216350.27523614722</v>
      </c>
      <c r="N79" s="186">
        <f t="shared" ca="1" si="78"/>
        <v>1.1635027523614723</v>
      </c>
      <c r="O79" s="74"/>
      <c r="Q79">
        <f t="shared" si="79"/>
        <v>63</v>
      </c>
      <c r="R79">
        <f t="shared" ca="1" si="80"/>
        <v>-3.7499999999999999E-2</v>
      </c>
      <c r="S79">
        <v>63</v>
      </c>
      <c r="T79">
        <f t="shared" ca="1" si="13"/>
        <v>-0.04</v>
      </c>
      <c r="U79">
        <f t="shared" ca="1" si="81"/>
        <v>-3.7499999999999999E-2</v>
      </c>
      <c r="V79">
        <f ca="1">COUNTIF($U$17:U78,$C$8)</f>
        <v>18</v>
      </c>
      <c r="W79">
        <f ca="1">COUNTIF($U$17:U78,$C$9)</f>
        <v>44</v>
      </c>
      <c r="AC79">
        <f t="shared" ca="1" si="16"/>
        <v>-0.04</v>
      </c>
      <c r="AD79">
        <f ca="1">COUNTIF($AC$17:AC78,$D$8)</f>
        <v>20</v>
      </c>
      <c r="AE79">
        <f ca="1">COUNTIF($AC$17:AC78,$D$9)</f>
        <v>42</v>
      </c>
      <c r="AF79">
        <f t="shared" ca="1" si="84"/>
        <v>65158.552930049402</v>
      </c>
      <c r="AG79">
        <f t="shared" ca="1" si="34"/>
        <v>-2606.3421172019762</v>
      </c>
      <c r="AH79">
        <f t="shared" ca="1" si="19"/>
        <v>-0.04</v>
      </c>
      <c r="AI79">
        <f t="shared" ca="1" si="18"/>
        <v>62552.210812847428</v>
      </c>
      <c r="AJ79" s="60">
        <f ca="1">IF($M$14="non-compounding",SUM($AG$17:AG79)+$C$3,IFERROR(IF(AH79&gt;0,(AJ78*(1-$D$10)),(AJ78*(1-$D$11)))+AI79,""))</f>
        <v>160290.04020792153</v>
      </c>
    </row>
    <row r="80" spans="1:36" x14ac:dyDescent="0.25">
      <c r="A80" s="74"/>
      <c r="B80" s="76"/>
      <c r="C80" s="76"/>
      <c r="D80" s="76"/>
      <c r="E80" s="76"/>
      <c r="F80" s="74"/>
      <c r="G80" s="232">
        <f t="shared" si="74"/>
        <v>64</v>
      </c>
      <c r="H80" s="182">
        <f t="shared" ca="1" si="82"/>
        <v>86540.110094458898</v>
      </c>
      <c r="I80" s="183" t="str">
        <f t="shared" ca="1" si="75"/>
        <v>LOSS</v>
      </c>
      <c r="J80" s="184">
        <f t="shared" ca="1" si="76"/>
        <v>-3245.2541285422085</v>
      </c>
      <c r="K80" s="185">
        <f t="shared" ca="1" si="83"/>
        <v>-3.7499999999999999E-2</v>
      </c>
      <c r="L80" s="182">
        <f t="shared" ca="1" si="77"/>
        <v>83294.855965916693</v>
      </c>
      <c r="M80" s="182">
        <f ca="1">IF($M$14="non-compounding",SUM($J$17:J80)+$C$3,IFERROR(IF(I80="win",(M79*(1-$C$10)),(M79*(1-$C$11)))+L80,""))</f>
        <v>213105.02110760502</v>
      </c>
      <c r="N80" s="186">
        <f t="shared" ca="1" si="78"/>
        <v>1.1310502110760501</v>
      </c>
      <c r="O80" s="74"/>
      <c r="Q80">
        <f t="shared" si="79"/>
        <v>64</v>
      </c>
      <c r="R80">
        <f t="shared" ca="1" si="80"/>
        <v>-3.7499999999999999E-2</v>
      </c>
      <c r="S80">
        <v>64</v>
      </c>
      <c r="T80">
        <f t="shared" ca="1" si="13"/>
        <v>0.15</v>
      </c>
      <c r="U80">
        <f t="shared" ca="1" si="81"/>
        <v>-3.7499999999999999E-2</v>
      </c>
      <c r="V80">
        <f ca="1">COUNTIF($U$17:U79,$C$8)</f>
        <v>18</v>
      </c>
      <c r="W80">
        <f ca="1">COUNTIF($U$17:U79,$C$9)</f>
        <v>45</v>
      </c>
      <c r="AC80">
        <f t="shared" ca="1" si="16"/>
        <v>0.15</v>
      </c>
      <c r="AD80">
        <f ca="1">COUNTIF($AC$17:AC79,$D$8)</f>
        <v>20</v>
      </c>
      <c r="AE80">
        <f ca="1">COUNTIF($AC$17:AC79,$D$9)</f>
        <v>43</v>
      </c>
      <c r="AF80">
        <f t="shared" ca="1" si="84"/>
        <v>64116.016083168615</v>
      </c>
      <c r="AG80">
        <f t="shared" ca="1" si="34"/>
        <v>9617.4024124752923</v>
      </c>
      <c r="AH80">
        <f t="shared" ca="1" si="19"/>
        <v>0.15</v>
      </c>
      <c r="AI80">
        <f t="shared" ca="1" si="18"/>
        <v>73733.418495643913</v>
      </c>
      <c r="AJ80" s="60">
        <f ca="1">IF($M$14="non-compounding",SUM($AG$17:AG80)+$C$3,IFERROR(IF(AH80&gt;0,(AJ79*(1-$D$10)),(AJ79*(1-$D$11)))+AI80,""))</f>
        <v>169907.44262039685</v>
      </c>
    </row>
    <row r="81" spans="1:36" x14ac:dyDescent="0.25">
      <c r="A81" s="74"/>
      <c r="B81" s="76"/>
      <c r="C81" s="76"/>
      <c r="D81" s="76"/>
      <c r="E81" s="76"/>
      <c r="F81" s="74"/>
      <c r="G81" s="232">
        <f t="shared" ref="G81:G116" si="85">Q81</f>
        <v>65</v>
      </c>
      <c r="H81" s="182">
        <f t="shared" ca="1" si="82"/>
        <v>85242.00844304201</v>
      </c>
      <c r="I81" s="183" t="str">
        <f t="shared" ref="I81:I116" ca="1" si="86">IF(G81="","",IF(K81&lt;0,"LOSS","WIN"))</f>
        <v>LOSS</v>
      </c>
      <c r="J81" s="184">
        <f t="shared" ref="J81:J112" ca="1" si="87">IFERROR(H81*K81,"")</f>
        <v>-3196.5753166140753</v>
      </c>
      <c r="K81" s="185">
        <f t="shared" ca="1" si="83"/>
        <v>-3.7499999999999999E-2</v>
      </c>
      <c r="L81" s="182">
        <f t="shared" ref="L81:L116" ca="1" si="88">IFERROR(J81+H81,"")</f>
        <v>82045.433126427932</v>
      </c>
      <c r="M81" s="182">
        <f ca="1">IF($M$14="non-compounding",SUM($J$17:J81)+$C$3,IFERROR(IF(I81="win",(M80*(1-$C$10)),(M80*(1-$C$11)))+L81,""))</f>
        <v>209908.44579099095</v>
      </c>
      <c r="N81" s="186">
        <f t="shared" ref="N81:N112" ca="1" si="89">IFERROR((M81-$C$3)/$C$3,"")</f>
        <v>1.0990844579099095</v>
      </c>
      <c r="O81" s="74"/>
      <c r="Q81">
        <f t="shared" ref="Q81:Q116" si="90">IFERROR(IF(S81&gt;$C$4,"",S81),"")</f>
        <v>65</v>
      </c>
      <c r="R81">
        <f t="shared" ref="R81:R116" ca="1" si="91">IF(S80&gt;=$C$4,"",IF(V81&gt;$X$11,$C$9,IF(W81&gt;=$Y$11,$C$8,U81)))</f>
        <v>-3.7499999999999999E-2</v>
      </c>
      <c r="S81">
        <v>65</v>
      </c>
      <c r="T81">
        <f t="shared" ca="1" si="13"/>
        <v>0.15</v>
      </c>
      <c r="U81">
        <f t="shared" ref="U81:U116" ca="1" si="92">CHOOSE(RANDBETWEEN(1,20),$Z$18,$Z$19,$Z$20,$Z$21,$Z$22,$Z$23,$Z$24,$Z$25,$Z$26,$Z$27,$Z$28,$Z$29,$Z$30,$Z$31,$Z$32,$Z$33,$Z$34,$Z$35,$Z$36,$Z$37)</f>
        <v>-3.7499999999999999E-2</v>
      </c>
      <c r="V81">
        <f ca="1">COUNTIF($U$17:U80,$C$8)</f>
        <v>18</v>
      </c>
      <c r="W81">
        <f ca="1">COUNTIF($U$17:U80,$C$9)</f>
        <v>46</v>
      </c>
      <c r="AC81">
        <f t="shared" ca="1" si="16"/>
        <v>0.15</v>
      </c>
      <c r="AD81">
        <f ca="1">COUNTIF($AC$17:AC80,$D$8)</f>
        <v>21</v>
      </c>
      <c r="AE81">
        <f ca="1">COUNTIF($AC$17:AC80,$D$9)</f>
        <v>43</v>
      </c>
      <c r="AF81">
        <f t="shared" ca="1" si="84"/>
        <v>67962.977048158747</v>
      </c>
      <c r="AG81">
        <f t="shared" ca="1" si="34"/>
        <v>10194.446557223811</v>
      </c>
      <c r="AH81">
        <f t="shared" ca="1" si="19"/>
        <v>0.15</v>
      </c>
      <c r="AI81">
        <f t="shared" ca="1" si="18"/>
        <v>78157.423605382559</v>
      </c>
      <c r="AJ81" s="60">
        <f ca="1">IF($M$14="non-compounding",SUM($AG$17:AG81)+$C$3,IFERROR(IF(AH81&gt;0,(AJ80*(1-$D$10)),(AJ80*(1-$D$11)))+AI81,""))</f>
        <v>180101.88917762064</v>
      </c>
    </row>
    <row r="82" spans="1:36" x14ac:dyDescent="0.25">
      <c r="A82" s="74"/>
      <c r="B82" s="76"/>
      <c r="C82" s="76"/>
      <c r="D82" s="76"/>
      <c r="E82" s="76"/>
      <c r="F82" s="74"/>
      <c r="G82" s="232">
        <f t="shared" si="85"/>
        <v>66</v>
      </c>
      <c r="H82" s="182">
        <f t="shared" ref="H82:H113" ca="1" si="93">IFERROR(IF($M$14="non-compounding",IF(I82="loss",($C$3*$C$11),($C$3*$C$10)),IF(G82="","",IF(I82="win",$C$10*M81,$C$11*M81))),"")</f>
        <v>146935.91205369367</v>
      </c>
      <c r="I82" s="183" t="str">
        <f t="shared" ca="1" si="86"/>
        <v>WIN</v>
      </c>
      <c r="J82" s="184">
        <f t="shared" ca="1" si="87"/>
        <v>17632.30944644324</v>
      </c>
      <c r="K82" s="185">
        <f t="shared" ref="K82:K116" ca="1" si="94">IF(S81&gt;=$C$4,"",IF(V82&gt;=$X$11,$C$9,IF(W82&gt;=$Y$11,$C$8,U82)))</f>
        <v>0.12</v>
      </c>
      <c r="L82" s="182">
        <f t="shared" ca="1" si="88"/>
        <v>164568.22150013692</v>
      </c>
      <c r="M82" s="182">
        <f ca="1">IF($M$14="non-compounding",SUM($J$17:J82)+$C$3,IFERROR(IF(I82="win",(M81*(1-$C$10)),(M81*(1-$C$11)))+L82,""))</f>
        <v>227540.7552374342</v>
      </c>
      <c r="N82" s="186">
        <f t="shared" ca="1" si="89"/>
        <v>1.275407552374342</v>
      </c>
      <c r="O82" s="74"/>
      <c r="Q82">
        <f t="shared" si="90"/>
        <v>66</v>
      </c>
      <c r="R82">
        <f t="shared" ca="1" si="91"/>
        <v>0.12</v>
      </c>
      <c r="S82">
        <v>66</v>
      </c>
      <c r="T82">
        <f t="shared" ref="T82:T116" ca="1" si="95">IF(S81&gt;=$C$4,"",IF(AD82&gt;$AA$11,$D$9,IF(AE82&gt;=$AB$11,$D$8,AC82)))</f>
        <v>0.15</v>
      </c>
      <c r="U82">
        <f t="shared" ca="1" si="92"/>
        <v>0.12</v>
      </c>
      <c r="V82">
        <f ca="1">COUNTIF($U$17:U81,$C$8)</f>
        <v>18</v>
      </c>
      <c r="W82">
        <f ca="1">COUNTIF($U$17:U81,$C$9)</f>
        <v>47</v>
      </c>
      <c r="AC82">
        <f t="shared" ref="AC82:AC116" ca="1" si="96">CHOOSE(RANDBETWEEN(1,20),$AB$18,$AB$19,$AB$20,$AB$21,$AB$22,$AB$23,$AB$24,$AB$25,$AB$26,$AB$27,$AB$28,$AB$29,$AB$30,$AB$31,$AB$32,$AB$33,$AB$34,$AB$35,$AB$36,$AB$37)</f>
        <v>0.15</v>
      </c>
      <c r="AD82">
        <f ca="1">COUNTIF($AC$17:AC81,$D$8)</f>
        <v>22</v>
      </c>
      <c r="AE82">
        <f ca="1">COUNTIF($AC$17:AC81,$D$9)</f>
        <v>43</v>
      </c>
      <c r="AF82">
        <f t="shared" ref="AF82:AF116" ca="1" si="97">IFERROR(IF($M$14="non-compounding",IF(AH82&lt;0,($C$3*$D$11),($C$3*$D$10)),IF(G82="","",IF(AH82&gt;0,$D$10*AJ81,$D$11*AJ81))),"")</f>
        <v>72040.75567104826</v>
      </c>
      <c r="AG82">
        <f t="shared" ca="1" si="34"/>
        <v>10806.113350657239</v>
      </c>
      <c r="AH82">
        <f t="shared" ca="1" si="19"/>
        <v>0.15</v>
      </c>
      <c r="AI82">
        <f t="shared" ref="AI82:AI116" ca="1" si="98">IFERROR(AG82+AF82,"")</f>
        <v>82846.869021705497</v>
      </c>
      <c r="AJ82" s="60">
        <f ca="1">IF($M$14="non-compounding",SUM($AG$17:AG82)+$C$3,IFERROR(IF(AH82&gt;0,(AJ81*(1-$D$10)),(AJ81*(1-$D$11)))+AI82,""))</f>
        <v>190908.00252827787</v>
      </c>
    </row>
    <row r="83" spans="1:36" x14ac:dyDescent="0.25">
      <c r="A83" s="74"/>
      <c r="B83" s="76"/>
      <c r="C83" s="76"/>
      <c r="D83" s="76"/>
      <c r="E83" s="76"/>
      <c r="F83" s="74"/>
      <c r="G83" s="232">
        <f t="shared" si="85"/>
        <v>67</v>
      </c>
      <c r="H83" s="182">
        <f t="shared" ca="1" si="93"/>
        <v>91016.302094973682</v>
      </c>
      <c r="I83" s="183" t="str">
        <f t="shared" ca="1" si="86"/>
        <v>LOSS</v>
      </c>
      <c r="J83" s="184">
        <f t="shared" ca="1" si="87"/>
        <v>-3413.1113285615129</v>
      </c>
      <c r="K83" s="185">
        <f t="shared" ca="1" si="94"/>
        <v>-3.7499999999999999E-2</v>
      </c>
      <c r="L83" s="182">
        <f t="shared" ca="1" si="88"/>
        <v>87603.190766412168</v>
      </c>
      <c r="M83" s="182">
        <f ca="1">IF($M$14="non-compounding",SUM($J$17:J83)+$C$3,IFERROR(IF(I83="win",(M82*(1-$C$10)),(M82*(1-$C$11)))+L83,""))</f>
        <v>224127.64390887268</v>
      </c>
      <c r="N83" s="186">
        <f t="shared" ca="1" si="89"/>
        <v>1.2412764390887268</v>
      </c>
      <c r="O83" s="74"/>
      <c r="Q83">
        <f t="shared" si="90"/>
        <v>67</v>
      </c>
      <c r="R83">
        <f t="shared" ca="1" si="91"/>
        <v>-3.7499999999999999E-2</v>
      </c>
      <c r="S83">
        <v>67</v>
      </c>
      <c r="T83">
        <f t="shared" ca="1" si="95"/>
        <v>-0.04</v>
      </c>
      <c r="U83">
        <f t="shared" ca="1" si="92"/>
        <v>-3.7499999999999999E-2</v>
      </c>
      <c r="V83">
        <f ca="1">COUNTIF($U$17:U82,$C$8)</f>
        <v>19</v>
      </c>
      <c r="W83">
        <f ca="1">COUNTIF($U$17:U82,$C$9)</f>
        <v>47</v>
      </c>
      <c r="AC83">
        <f t="shared" ca="1" si="96"/>
        <v>-0.04</v>
      </c>
      <c r="AD83">
        <f ca="1">COUNTIF($AC$17:AC82,$D$8)</f>
        <v>23</v>
      </c>
      <c r="AE83">
        <f ca="1">COUNTIF($AC$17:AC82,$D$9)</f>
        <v>43</v>
      </c>
      <c r="AF83">
        <f t="shared" ca="1" si="97"/>
        <v>76363.201011311146</v>
      </c>
      <c r="AG83">
        <f t="shared" ca="1" si="34"/>
        <v>-3054.528040452446</v>
      </c>
      <c r="AH83">
        <f t="shared" ref="AH83:AH116" ca="1" si="99">IF(S82&gt;=$C$4,"",IF(AD83&gt;=$AA$11,$D$9,IF(AE83&gt;=$AB$11,$D$8,AC83)))</f>
        <v>-0.04</v>
      </c>
      <c r="AI83">
        <f t="shared" ca="1" si="98"/>
        <v>73308.672970858694</v>
      </c>
      <c r="AJ83" s="60">
        <f ca="1">IF($M$14="non-compounding",SUM($AG$17:AG83)+$C$3,IFERROR(IF(AH83&gt;0,(AJ82*(1-$D$10)),(AJ82*(1-$D$11)))+AI83,""))</f>
        <v>187853.47448782541</v>
      </c>
    </row>
    <row r="84" spans="1:36" x14ac:dyDescent="0.25">
      <c r="A84" s="74"/>
      <c r="B84" s="76"/>
      <c r="C84" s="76"/>
      <c r="D84" s="76"/>
      <c r="E84" s="76"/>
      <c r="F84" s="74"/>
      <c r="G84" s="232">
        <f t="shared" si="85"/>
        <v>68</v>
      </c>
      <c r="H84" s="182">
        <f t="shared" ca="1" si="93"/>
        <v>89651.057563549082</v>
      </c>
      <c r="I84" s="183" t="str">
        <f t="shared" ca="1" si="86"/>
        <v>LOSS</v>
      </c>
      <c r="J84" s="184">
        <f t="shared" ca="1" si="87"/>
        <v>-3361.9146586330903</v>
      </c>
      <c r="K84" s="185">
        <f t="shared" ca="1" si="94"/>
        <v>-3.7499999999999999E-2</v>
      </c>
      <c r="L84" s="182">
        <f t="shared" ca="1" si="88"/>
        <v>86289.142904915992</v>
      </c>
      <c r="M84" s="182">
        <f ca="1">IF($M$14="non-compounding",SUM($J$17:J84)+$C$3,IFERROR(IF(I84="win",(M83*(1-$C$10)),(M83*(1-$C$11)))+L84,""))</f>
        <v>220765.72925023959</v>
      </c>
      <c r="N84" s="186">
        <f t="shared" ca="1" si="89"/>
        <v>1.2076572925023958</v>
      </c>
      <c r="O84" s="74"/>
      <c r="Q84">
        <f t="shared" si="90"/>
        <v>68</v>
      </c>
      <c r="R84">
        <f t="shared" ca="1" si="91"/>
        <v>-3.7499999999999999E-2</v>
      </c>
      <c r="S84">
        <v>68</v>
      </c>
      <c r="T84">
        <f t="shared" ca="1" si="95"/>
        <v>-0.04</v>
      </c>
      <c r="U84">
        <f t="shared" ca="1" si="92"/>
        <v>-3.7499999999999999E-2</v>
      </c>
      <c r="V84">
        <f ca="1">COUNTIF($U$17:U83,$C$8)</f>
        <v>19</v>
      </c>
      <c r="W84">
        <f ca="1">COUNTIF($U$17:U83,$C$9)</f>
        <v>48</v>
      </c>
      <c r="AC84">
        <f t="shared" ca="1" si="96"/>
        <v>-0.04</v>
      </c>
      <c r="AD84">
        <f ca="1">COUNTIF($AC$17:AC83,$D$8)</f>
        <v>23</v>
      </c>
      <c r="AE84">
        <f ca="1">COUNTIF($AC$17:AC83,$D$9)</f>
        <v>44</v>
      </c>
      <c r="AF84">
        <f t="shared" ca="1" si="97"/>
        <v>75141.389795130162</v>
      </c>
      <c r="AG84">
        <f t="shared" ref="AG84:AG116" ca="1" si="100">IFERROR(AF84*AH84,"")</f>
        <v>-3005.6555918052068</v>
      </c>
      <c r="AH84">
        <f t="shared" ca="1" si="99"/>
        <v>-0.04</v>
      </c>
      <c r="AI84">
        <f t="shared" ca="1" si="98"/>
        <v>72135.734203324959</v>
      </c>
      <c r="AJ84" s="60">
        <f ca="1">IF($M$14="non-compounding",SUM($AG$17:AG84)+$C$3,IFERROR(IF(AH84&gt;0,(AJ83*(1-$D$10)),(AJ83*(1-$D$11)))+AI84,""))</f>
        <v>184847.81889602021</v>
      </c>
    </row>
    <row r="85" spans="1:36" x14ac:dyDescent="0.25">
      <c r="A85" s="74"/>
      <c r="B85" s="76"/>
      <c r="C85" s="76"/>
      <c r="D85" s="76"/>
      <c r="E85" s="76"/>
      <c r="F85" s="74"/>
      <c r="G85" s="232">
        <f t="shared" si="85"/>
        <v>69</v>
      </c>
      <c r="H85" s="182">
        <f t="shared" ca="1" si="93"/>
        <v>154536.01047516771</v>
      </c>
      <c r="I85" s="183" t="str">
        <f t="shared" ca="1" si="86"/>
        <v>WIN</v>
      </c>
      <c r="J85" s="184">
        <f t="shared" ca="1" si="87"/>
        <v>18544.321257020125</v>
      </c>
      <c r="K85" s="185">
        <f t="shared" ca="1" si="94"/>
        <v>0.12</v>
      </c>
      <c r="L85" s="182">
        <f t="shared" ca="1" si="88"/>
        <v>173080.33173218783</v>
      </c>
      <c r="M85" s="182">
        <f ca="1">IF($M$14="non-compounding",SUM($J$17:J85)+$C$3,IFERROR(IF(I85="win",(M84*(1-$C$10)),(M84*(1-$C$11)))+L85,""))</f>
        <v>239310.05050725973</v>
      </c>
      <c r="N85" s="186">
        <f t="shared" ca="1" si="89"/>
        <v>1.3931005050725973</v>
      </c>
      <c r="O85" s="74"/>
      <c r="Q85">
        <f t="shared" si="90"/>
        <v>69</v>
      </c>
      <c r="R85">
        <f t="shared" ca="1" si="91"/>
        <v>0.12</v>
      </c>
      <c r="S85">
        <v>69</v>
      </c>
      <c r="T85">
        <f t="shared" ca="1" si="95"/>
        <v>-0.04</v>
      </c>
      <c r="U85">
        <f t="shared" ca="1" si="92"/>
        <v>0.12</v>
      </c>
      <c r="V85">
        <f ca="1">COUNTIF($U$17:U84,$C$8)</f>
        <v>19</v>
      </c>
      <c r="W85">
        <f ca="1">COUNTIF($U$17:U84,$C$9)</f>
        <v>49</v>
      </c>
      <c r="AC85">
        <f t="shared" ca="1" si="96"/>
        <v>-0.04</v>
      </c>
      <c r="AD85">
        <f ca="1">COUNTIF($AC$17:AC84,$D$8)</f>
        <v>23</v>
      </c>
      <c r="AE85">
        <f ca="1">COUNTIF($AC$17:AC84,$D$9)</f>
        <v>45</v>
      </c>
      <c r="AF85">
        <f t="shared" ca="1" si="97"/>
        <v>73939.127558408087</v>
      </c>
      <c r="AG85">
        <f t="shared" ca="1" si="100"/>
        <v>-2957.5651023363234</v>
      </c>
      <c r="AH85">
        <f t="shared" ca="1" si="99"/>
        <v>-0.04</v>
      </c>
      <c r="AI85">
        <f t="shared" ca="1" si="98"/>
        <v>70981.56245607177</v>
      </c>
      <c r="AJ85" s="60">
        <f ca="1">IF($M$14="non-compounding",SUM($AG$17:AG85)+$C$3,IFERROR(IF(AH85&gt;0,(AJ84*(1-$D$10)),(AJ84*(1-$D$11)))+AI85,""))</f>
        <v>181890.25379368389</v>
      </c>
    </row>
    <row r="86" spans="1:36" x14ac:dyDescent="0.25">
      <c r="A86" s="74"/>
      <c r="B86" s="76"/>
      <c r="C86" s="76"/>
      <c r="D86" s="76"/>
      <c r="E86" s="76"/>
      <c r="F86" s="74"/>
      <c r="G86" s="232">
        <f t="shared" si="85"/>
        <v>70</v>
      </c>
      <c r="H86" s="182">
        <f t="shared" ca="1" si="93"/>
        <v>95724.020202903892</v>
      </c>
      <c r="I86" s="183" t="str">
        <f t="shared" ca="1" si="86"/>
        <v>LOSS</v>
      </c>
      <c r="J86" s="184">
        <f t="shared" ca="1" si="87"/>
        <v>-3589.6507576088957</v>
      </c>
      <c r="K86" s="185">
        <f t="shared" ca="1" si="94"/>
        <v>-3.7499999999999999E-2</v>
      </c>
      <c r="L86" s="182">
        <f t="shared" ca="1" si="88"/>
        <v>92134.369445295</v>
      </c>
      <c r="M86" s="182">
        <f ca="1">IF($M$14="non-compounding",SUM($J$17:J86)+$C$3,IFERROR(IF(I86="win",(M85*(1-$C$10)),(M85*(1-$C$11)))+L86,""))</f>
        <v>235720.39974965085</v>
      </c>
      <c r="N86" s="186">
        <f t="shared" ca="1" si="89"/>
        <v>1.3572039974965084</v>
      </c>
      <c r="O86" s="74"/>
      <c r="Q86">
        <f t="shared" si="90"/>
        <v>70</v>
      </c>
      <c r="R86">
        <f t="shared" ca="1" si="91"/>
        <v>-3.7499999999999999E-2</v>
      </c>
      <c r="S86">
        <v>70</v>
      </c>
      <c r="T86">
        <f t="shared" ca="1" si="95"/>
        <v>-0.04</v>
      </c>
      <c r="U86">
        <f t="shared" ca="1" si="92"/>
        <v>-3.7499999999999999E-2</v>
      </c>
      <c r="V86">
        <f ca="1">COUNTIF($U$17:U85,$C$8)</f>
        <v>20</v>
      </c>
      <c r="W86">
        <f ca="1">COUNTIF($U$17:U85,$C$9)</f>
        <v>49</v>
      </c>
      <c r="AC86">
        <f t="shared" ca="1" si="96"/>
        <v>-0.04</v>
      </c>
      <c r="AD86">
        <f ca="1">COUNTIF($AC$17:AC85,$D$8)</f>
        <v>23</v>
      </c>
      <c r="AE86">
        <f ca="1">COUNTIF($AC$17:AC85,$D$9)</f>
        <v>46</v>
      </c>
      <c r="AF86">
        <f t="shared" ca="1" si="97"/>
        <v>72756.101517473566</v>
      </c>
      <c r="AG86">
        <f t="shared" ca="1" si="100"/>
        <v>-2910.2440606989426</v>
      </c>
      <c r="AH86">
        <f t="shared" ca="1" si="99"/>
        <v>-0.04</v>
      </c>
      <c r="AI86">
        <f t="shared" ca="1" si="98"/>
        <v>69845.857456774625</v>
      </c>
      <c r="AJ86" s="60">
        <f ca="1">IF($M$14="non-compounding",SUM($AG$17:AG86)+$C$3,IFERROR(IF(AH86&gt;0,(AJ85*(1-$D$10)),(AJ85*(1-$D$11)))+AI86,""))</f>
        <v>178980.00973298494</v>
      </c>
    </row>
    <row r="87" spans="1:36" x14ac:dyDescent="0.25">
      <c r="A87" s="74"/>
      <c r="B87" s="76"/>
      <c r="C87" s="76"/>
      <c r="D87" s="76"/>
      <c r="E87" s="76"/>
      <c r="F87" s="74"/>
      <c r="G87" s="232">
        <f t="shared" si="85"/>
        <v>71</v>
      </c>
      <c r="H87" s="182">
        <f t="shared" ca="1" si="93"/>
        <v>94288.159899860344</v>
      </c>
      <c r="I87" s="183" t="str">
        <f t="shared" ca="1" si="86"/>
        <v>LOSS</v>
      </c>
      <c r="J87" s="184">
        <f t="shared" ca="1" si="87"/>
        <v>-3535.8059962447628</v>
      </c>
      <c r="K87" s="185">
        <f t="shared" ca="1" si="94"/>
        <v>-3.7499999999999999E-2</v>
      </c>
      <c r="L87" s="182">
        <f t="shared" ca="1" si="88"/>
        <v>90752.353903615585</v>
      </c>
      <c r="M87" s="182">
        <f ca="1">IF($M$14="non-compounding",SUM($J$17:J87)+$C$3,IFERROR(IF(I87="win",(M86*(1-$C$10)),(M86*(1-$C$11)))+L87,""))</f>
        <v>232184.59375340608</v>
      </c>
      <c r="N87" s="186">
        <f t="shared" ca="1" si="89"/>
        <v>1.3218459375340608</v>
      </c>
      <c r="O87" s="74"/>
      <c r="Q87">
        <f t="shared" si="90"/>
        <v>71</v>
      </c>
      <c r="R87">
        <f t="shared" ca="1" si="91"/>
        <v>-3.7499999999999999E-2</v>
      </c>
      <c r="S87">
        <v>71</v>
      </c>
      <c r="T87">
        <f t="shared" ca="1" si="95"/>
        <v>0.15</v>
      </c>
      <c r="U87">
        <f t="shared" ca="1" si="92"/>
        <v>-3.7499999999999999E-2</v>
      </c>
      <c r="V87">
        <f ca="1">COUNTIF($U$17:U86,$C$8)</f>
        <v>20</v>
      </c>
      <c r="W87">
        <f ca="1">COUNTIF($U$17:U86,$C$9)</f>
        <v>50</v>
      </c>
      <c r="AC87">
        <f t="shared" ca="1" si="96"/>
        <v>0.15</v>
      </c>
      <c r="AD87">
        <f ca="1">COUNTIF($AC$17:AC86,$D$8)</f>
        <v>23</v>
      </c>
      <c r="AE87">
        <f ca="1">COUNTIF($AC$17:AC86,$D$9)</f>
        <v>47</v>
      </c>
      <c r="AF87">
        <f t="shared" ca="1" si="97"/>
        <v>71592.003893193978</v>
      </c>
      <c r="AG87">
        <f t="shared" ca="1" si="100"/>
        <v>10738.800583979097</v>
      </c>
      <c r="AH87">
        <f t="shared" ca="1" si="99"/>
        <v>0.15</v>
      </c>
      <c r="AI87">
        <f t="shared" ca="1" si="98"/>
        <v>82330.804477173078</v>
      </c>
      <c r="AJ87" s="60">
        <f ca="1">IF($M$14="non-compounding",SUM($AG$17:AG87)+$C$3,IFERROR(IF(AH87&gt;0,(AJ86*(1-$D$10)),(AJ86*(1-$D$11)))+AI87,""))</f>
        <v>189718.81031696405</v>
      </c>
    </row>
    <row r="88" spans="1:36" x14ac:dyDescent="0.25">
      <c r="A88" s="74"/>
      <c r="B88" s="76"/>
      <c r="C88" s="76"/>
      <c r="D88" s="76"/>
      <c r="E88" s="76"/>
      <c r="F88" s="74"/>
      <c r="G88" s="232">
        <f t="shared" si="85"/>
        <v>72</v>
      </c>
      <c r="H88" s="182">
        <f t="shared" ca="1" si="93"/>
        <v>162529.21562738426</v>
      </c>
      <c r="I88" s="183" t="str">
        <f t="shared" ca="1" si="86"/>
        <v>WIN</v>
      </c>
      <c r="J88" s="184">
        <f t="shared" ca="1" si="87"/>
        <v>19503.505875286111</v>
      </c>
      <c r="K88" s="185">
        <f t="shared" ca="1" si="94"/>
        <v>0.12</v>
      </c>
      <c r="L88" s="182">
        <f t="shared" ca="1" si="88"/>
        <v>182032.72150267038</v>
      </c>
      <c r="M88" s="182">
        <f ca="1">IF($M$14="non-compounding",SUM($J$17:J88)+$C$3,IFERROR(IF(I88="win",(M87*(1-$C$10)),(M87*(1-$C$11)))+L88,""))</f>
        <v>251688.0996286922</v>
      </c>
      <c r="N88" s="186">
        <f t="shared" ca="1" si="89"/>
        <v>1.5168809962869221</v>
      </c>
      <c r="O88" s="74"/>
      <c r="Q88">
        <f t="shared" si="90"/>
        <v>72</v>
      </c>
      <c r="R88">
        <f t="shared" ca="1" si="91"/>
        <v>0.12</v>
      </c>
      <c r="S88">
        <v>72</v>
      </c>
      <c r="T88">
        <f t="shared" ca="1" si="95"/>
        <v>-0.04</v>
      </c>
      <c r="U88">
        <f t="shared" ca="1" si="92"/>
        <v>0.12</v>
      </c>
      <c r="V88">
        <f ca="1">COUNTIF($U$17:U87,$C$8)</f>
        <v>20</v>
      </c>
      <c r="W88">
        <f ca="1">COUNTIF($U$17:U87,$C$9)</f>
        <v>51</v>
      </c>
      <c r="AC88">
        <f t="shared" ca="1" si="96"/>
        <v>-0.04</v>
      </c>
      <c r="AD88">
        <f ca="1">COUNTIF($AC$17:AC87,$D$8)</f>
        <v>24</v>
      </c>
      <c r="AE88">
        <f ca="1">COUNTIF($AC$17:AC87,$D$9)</f>
        <v>47</v>
      </c>
      <c r="AF88">
        <f t="shared" ca="1" si="97"/>
        <v>75887.524126785618</v>
      </c>
      <c r="AG88">
        <f t="shared" ca="1" si="100"/>
        <v>-3035.5009650714246</v>
      </c>
      <c r="AH88">
        <f t="shared" ca="1" si="99"/>
        <v>-0.04</v>
      </c>
      <c r="AI88">
        <f t="shared" ca="1" si="98"/>
        <v>72852.023161714198</v>
      </c>
      <c r="AJ88" s="60">
        <f ca="1">IF($M$14="non-compounding",SUM($AG$17:AG88)+$C$3,IFERROR(IF(AH88&gt;0,(AJ87*(1-$D$10)),(AJ87*(1-$D$11)))+AI88,""))</f>
        <v>186683.30935189262</v>
      </c>
    </row>
    <row r="89" spans="1:36" x14ac:dyDescent="0.25">
      <c r="A89" s="74"/>
      <c r="B89" s="76"/>
      <c r="C89" s="76"/>
      <c r="D89" s="76"/>
      <c r="E89" s="76"/>
      <c r="F89" s="74"/>
      <c r="G89" s="232">
        <f t="shared" si="85"/>
        <v>73</v>
      </c>
      <c r="H89" s="182">
        <f t="shared" ca="1" si="93"/>
        <v>176181.66974008453</v>
      </c>
      <c r="I89" s="183" t="str">
        <f t="shared" ca="1" si="86"/>
        <v>WIN</v>
      </c>
      <c r="J89" s="184">
        <f t="shared" ca="1" si="87"/>
        <v>21141.800368810142</v>
      </c>
      <c r="K89" s="185">
        <f t="shared" ca="1" si="94"/>
        <v>0.12</v>
      </c>
      <c r="L89" s="182">
        <f t="shared" ca="1" si="88"/>
        <v>197323.47010889466</v>
      </c>
      <c r="M89" s="182">
        <f ca="1">IF($M$14="non-compounding",SUM($J$17:J89)+$C$3,IFERROR(IF(I89="win",(M88*(1-$C$10)),(M88*(1-$C$11)))+L89,""))</f>
        <v>272829.89999750233</v>
      </c>
      <c r="N89" s="186">
        <f t="shared" ca="1" si="89"/>
        <v>1.7282989999750233</v>
      </c>
      <c r="O89" s="74"/>
      <c r="Q89">
        <f t="shared" si="90"/>
        <v>73</v>
      </c>
      <c r="R89">
        <f t="shared" ca="1" si="91"/>
        <v>0.12</v>
      </c>
      <c r="S89">
        <v>73</v>
      </c>
      <c r="T89">
        <f t="shared" ca="1" si="95"/>
        <v>0.15</v>
      </c>
      <c r="U89">
        <f t="shared" ca="1" si="92"/>
        <v>0.12</v>
      </c>
      <c r="V89">
        <f ca="1">COUNTIF($U$17:U88,$C$8)</f>
        <v>21</v>
      </c>
      <c r="W89">
        <f ca="1">COUNTIF($U$17:U88,$C$9)</f>
        <v>51</v>
      </c>
      <c r="AC89">
        <f t="shared" ca="1" si="96"/>
        <v>0.15</v>
      </c>
      <c r="AD89">
        <f ca="1">COUNTIF($AC$17:AC88,$D$8)</f>
        <v>24</v>
      </c>
      <c r="AE89">
        <f ca="1">COUNTIF($AC$17:AC88,$D$9)</f>
        <v>48</v>
      </c>
      <c r="AF89">
        <f t="shared" ca="1" si="97"/>
        <v>74673.323740757056</v>
      </c>
      <c r="AG89">
        <f t="shared" ca="1" si="100"/>
        <v>11200.998561113558</v>
      </c>
      <c r="AH89">
        <f t="shared" ca="1" si="99"/>
        <v>0.15</v>
      </c>
      <c r="AI89">
        <f t="shared" ca="1" si="98"/>
        <v>85874.322301870619</v>
      </c>
      <c r="AJ89" s="60">
        <f ca="1">IF($M$14="non-compounding",SUM($AG$17:AG89)+$C$3,IFERROR(IF(AH89&gt;0,(AJ88*(1-$D$10)),(AJ88*(1-$D$11)))+AI89,""))</f>
        <v>197884.30791300617</v>
      </c>
    </row>
    <row r="90" spans="1:36" x14ac:dyDescent="0.25">
      <c r="A90" s="74"/>
      <c r="B90" s="76"/>
      <c r="C90" s="76"/>
      <c r="D90" s="76"/>
      <c r="E90" s="76"/>
      <c r="F90" s="74"/>
      <c r="G90" s="232">
        <f t="shared" si="85"/>
        <v>74</v>
      </c>
      <c r="H90" s="182">
        <f t="shared" ca="1" si="93"/>
        <v>190980.92999825161</v>
      </c>
      <c r="I90" s="183" t="str">
        <f t="shared" ca="1" si="86"/>
        <v>WIN</v>
      </c>
      <c r="J90" s="184">
        <f t="shared" ca="1" si="87"/>
        <v>22917.711599790193</v>
      </c>
      <c r="K90" s="185">
        <f t="shared" ca="1" si="94"/>
        <v>0.12</v>
      </c>
      <c r="L90" s="182">
        <f t="shared" ca="1" si="88"/>
        <v>213898.64159804181</v>
      </c>
      <c r="M90" s="182">
        <f ca="1">IF($M$14="non-compounding",SUM($J$17:J90)+$C$3,IFERROR(IF(I90="win",(M89*(1-$C$10)),(M89*(1-$C$11)))+L90,""))</f>
        <v>295747.61159729253</v>
      </c>
      <c r="N90" s="186">
        <f t="shared" ca="1" si="89"/>
        <v>1.9574761159729253</v>
      </c>
      <c r="O90" s="74"/>
      <c r="Q90">
        <f t="shared" si="90"/>
        <v>74</v>
      </c>
      <c r="R90">
        <f t="shared" ca="1" si="91"/>
        <v>0.12</v>
      </c>
      <c r="S90">
        <v>74</v>
      </c>
      <c r="T90">
        <f t="shared" ca="1" si="95"/>
        <v>0.15</v>
      </c>
      <c r="U90">
        <f t="shared" ca="1" si="92"/>
        <v>0.12</v>
      </c>
      <c r="V90">
        <f ca="1">COUNTIF($U$17:U89,$C$8)</f>
        <v>22</v>
      </c>
      <c r="W90">
        <f ca="1">COUNTIF($U$17:U89,$C$9)</f>
        <v>51</v>
      </c>
      <c r="AC90">
        <f t="shared" ca="1" si="96"/>
        <v>0.15</v>
      </c>
      <c r="AD90">
        <f ca="1">COUNTIF($AC$17:AC89,$D$8)</f>
        <v>25</v>
      </c>
      <c r="AE90">
        <f ca="1">COUNTIF($AC$17:AC89,$D$9)</f>
        <v>48</v>
      </c>
      <c r="AF90">
        <f t="shared" ca="1" si="97"/>
        <v>79153.723165202478</v>
      </c>
      <c r="AG90">
        <f t="shared" ca="1" si="100"/>
        <v>11873.058474780371</v>
      </c>
      <c r="AH90">
        <f t="shared" ca="1" si="99"/>
        <v>0.15</v>
      </c>
      <c r="AI90">
        <f t="shared" ca="1" si="98"/>
        <v>91026.781639982844</v>
      </c>
      <c r="AJ90" s="60">
        <f ca="1">IF($M$14="non-compounding",SUM($AG$17:AG90)+$C$3,IFERROR(IF(AH90&gt;0,(AJ89*(1-$D$10)),(AJ89*(1-$D$11)))+AI90,""))</f>
        <v>209757.36638778652</v>
      </c>
    </row>
    <row r="91" spans="1:36" x14ac:dyDescent="0.25">
      <c r="A91" s="74"/>
      <c r="B91" s="76"/>
      <c r="C91" s="76"/>
      <c r="D91" s="76"/>
      <c r="E91" s="76"/>
      <c r="F91" s="74"/>
      <c r="G91" s="232">
        <f t="shared" si="85"/>
        <v>75</v>
      </c>
      <c r="H91" s="182">
        <f t="shared" ca="1" si="93"/>
        <v>207023.32811810475</v>
      </c>
      <c r="I91" s="183" t="str">
        <f t="shared" ca="1" si="86"/>
        <v>WIN</v>
      </c>
      <c r="J91" s="184">
        <f t="shared" ca="1" si="87"/>
        <v>24842.79937417257</v>
      </c>
      <c r="K91" s="185">
        <f t="shared" ca="1" si="94"/>
        <v>0.12</v>
      </c>
      <c r="L91" s="182">
        <f t="shared" ca="1" si="88"/>
        <v>231866.12749227733</v>
      </c>
      <c r="M91" s="182">
        <f ca="1">IF($M$14="non-compounding",SUM($J$17:J91)+$C$3,IFERROR(IF(I91="win",(M90*(1-$C$10)),(M90*(1-$C$11)))+L91,""))</f>
        <v>320590.41097146511</v>
      </c>
      <c r="N91" s="186">
        <f t="shared" ca="1" si="89"/>
        <v>2.205904109714651</v>
      </c>
      <c r="O91" s="74"/>
      <c r="Q91">
        <f t="shared" si="90"/>
        <v>75</v>
      </c>
      <c r="R91">
        <f t="shared" ca="1" si="91"/>
        <v>0.12</v>
      </c>
      <c r="S91">
        <v>75</v>
      </c>
      <c r="T91">
        <f t="shared" ca="1" si="95"/>
        <v>-0.04</v>
      </c>
      <c r="U91">
        <f t="shared" ca="1" si="92"/>
        <v>0.12</v>
      </c>
      <c r="V91">
        <f ca="1">COUNTIF($U$17:U90,$C$8)</f>
        <v>23</v>
      </c>
      <c r="W91">
        <f ca="1">COUNTIF($U$17:U90,$C$9)</f>
        <v>51</v>
      </c>
      <c r="AC91">
        <f t="shared" ca="1" si="96"/>
        <v>-0.04</v>
      </c>
      <c r="AD91">
        <f ca="1">COUNTIF($AC$17:AC90,$D$8)</f>
        <v>26</v>
      </c>
      <c r="AE91">
        <f ca="1">COUNTIF($AC$17:AC90,$D$9)</f>
        <v>48</v>
      </c>
      <c r="AF91">
        <f t="shared" ca="1" si="97"/>
        <v>83902.946555114613</v>
      </c>
      <c r="AG91">
        <f t="shared" ca="1" si="100"/>
        <v>-3356.1178622045845</v>
      </c>
      <c r="AH91">
        <f t="shared" ca="1" si="99"/>
        <v>-0.04</v>
      </c>
      <c r="AI91">
        <f t="shared" ca="1" si="98"/>
        <v>80546.828692910029</v>
      </c>
      <c r="AJ91" s="60">
        <f ca="1">IF($M$14="non-compounding",SUM($AG$17:AG91)+$C$3,IFERROR(IF(AH91&gt;0,(AJ90*(1-$D$10)),(AJ90*(1-$D$11)))+AI91,""))</f>
        <v>206401.24852558193</v>
      </c>
    </row>
    <row r="92" spans="1:36" x14ac:dyDescent="0.25">
      <c r="A92" s="74"/>
      <c r="B92" s="76"/>
      <c r="C92" s="76"/>
      <c r="D92" s="76"/>
      <c r="E92" s="76"/>
      <c r="F92" s="74"/>
      <c r="G92" s="232">
        <f t="shared" si="85"/>
        <v>76</v>
      </c>
      <c r="H92" s="182">
        <f t="shared" ca="1" si="93"/>
        <v>128236.16438858605</v>
      </c>
      <c r="I92" s="183" t="str">
        <f t="shared" ca="1" si="86"/>
        <v>LOSS</v>
      </c>
      <c r="J92" s="184">
        <f t="shared" ca="1" si="87"/>
        <v>-4808.8561645719765</v>
      </c>
      <c r="K92" s="185">
        <f t="shared" ca="1" si="94"/>
        <v>-3.7499999999999999E-2</v>
      </c>
      <c r="L92" s="182">
        <f t="shared" ca="1" si="88"/>
        <v>123427.30822401408</v>
      </c>
      <c r="M92" s="182">
        <f ca="1">IF($M$14="non-compounding",SUM($J$17:J92)+$C$3,IFERROR(IF(I92="win",(M91*(1-$C$10)),(M91*(1-$C$11)))+L92,""))</f>
        <v>315781.55480689317</v>
      </c>
      <c r="N92" s="186">
        <f t="shared" ca="1" si="89"/>
        <v>2.1578155480689318</v>
      </c>
      <c r="O92" s="74"/>
      <c r="Q92">
        <f t="shared" si="90"/>
        <v>76</v>
      </c>
      <c r="R92">
        <f t="shared" ca="1" si="91"/>
        <v>-3.7499999999999999E-2</v>
      </c>
      <c r="S92">
        <v>76</v>
      </c>
      <c r="T92">
        <f t="shared" ca="1" si="95"/>
        <v>-0.04</v>
      </c>
      <c r="U92">
        <f t="shared" ca="1" si="92"/>
        <v>-3.7499999999999999E-2</v>
      </c>
      <c r="V92">
        <f ca="1">COUNTIF($U$17:U91,$C$8)</f>
        <v>24</v>
      </c>
      <c r="W92">
        <f ca="1">COUNTIF($U$17:U91,$C$9)</f>
        <v>51</v>
      </c>
      <c r="AC92">
        <f t="shared" ca="1" si="96"/>
        <v>-0.04</v>
      </c>
      <c r="AD92">
        <f ca="1">COUNTIF($AC$17:AC91,$D$8)</f>
        <v>26</v>
      </c>
      <c r="AE92">
        <f ca="1">COUNTIF($AC$17:AC91,$D$9)</f>
        <v>49</v>
      </c>
      <c r="AF92">
        <f t="shared" ca="1" si="97"/>
        <v>82560.499410232776</v>
      </c>
      <c r="AG92">
        <f t="shared" ca="1" si="100"/>
        <v>-3302.4199764093109</v>
      </c>
      <c r="AH92">
        <f t="shared" ca="1" si="99"/>
        <v>-0.04</v>
      </c>
      <c r="AI92">
        <f t="shared" ca="1" si="98"/>
        <v>79258.07943382347</v>
      </c>
      <c r="AJ92" s="60">
        <f ca="1">IF($M$14="non-compounding",SUM($AG$17:AG92)+$C$3,IFERROR(IF(AH92&gt;0,(AJ91*(1-$D$10)),(AJ91*(1-$D$11)))+AI92,""))</f>
        <v>203098.82854917261</v>
      </c>
    </row>
    <row r="93" spans="1:36" x14ac:dyDescent="0.25">
      <c r="A93" s="74"/>
      <c r="B93" s="76"/>
      <c r="C93" s="76"/>
      <c r="D93" s="76"/>
      <c r="E93" s="76"/>
      <c r="F93" s="74"/>
      <c r="G93" s="232">
        <f t="shared" si="85"/>
        <v>77</v>
      </c>
      <c r="H93" s="182">
        <f t="shared" ca="1" si="93"/>
        <v>126312.62192275727</v>
      </c>
      <c r="I93" s="183" t="str">
        <f t="shared" ca="1" si="86"/>
        <v>LOSS</v>
      </c>
      <c r="J93" s="184">
        <f t="shared" ca="1" si="87"/>
        <v>-4736.7233221033975</v>
      </c>
      <c r="K93" s="185">
        <f t="shared" ca="1" si="94"/>
        <v>-3.7499999999999999E-2</v>
      </c>
      <c r="L93" s="182">
        <f t="shared" ca="1" si="88"/>
        <v>121575.89860065388</v>
      </c>
      <c r="M93" s="182">
        <f ca="1">IF($M$14="non-compounding",SUM($J$17:J93)+$C$3,IFERROR(IF(I93="win",(M92*(1-$C$10)),(M92*(1-$C$11)))+L93,""))</f>
        <v>311044.83148478979</v>
      </c>
      <c r="N93" s="186">
        <f t="shared" ca="1" si="89"/>
        <v>2.1104483148478979</v>
      </c>
      <c r="O93" s="74"/>
      <c r="Q93">
        <f t="shared" si="90"/>
        <v>77</v>
      </c>
      <c r="R93">
        <f t="shared" ca="1" si="91"/>
        <v>-3.7499999999999999E-2</v>
      </c>
      <c r="S93">
        <v>77</v>
      </c>
      <c r="T93">
        <f t="shared" ca="1" si="95"/>
        <v>-0.04</v>
      </c>
      <c r="U93">
        <f t="shared" ca="1" si="92"/>
        <v>-3.7499999999999999E-2</v>
      </c>
      <c r="V93">
        <f ca="1">COUNTIF($U$17:U92,$C$8)</f>
        <v>24</v>
      </c>
      <c r="W93">
        <f ca="1">COUNTIF($U$17:U92,$C$9)</f>
        <v>52</v>
      </c>
      <c r="AC93">
        <f t="shared" ca="1" si="96"/>
        <v>-0.04</v>
      </c>
      <c r="AD93">
        <f ca="1">COUNTIF($AC$17:AC92,$D$8)</f>
        <v>26</v>
      </c>
      <c r="AE93">
        <f ca="1">COUNTIF($AC$17:AC92,$D$9)</f>
        <v>50</v>
      </c>
      <c r="AF93">
        <f t="shared" ca="1" si="97"/>
        <v>81239.531419669045</v>
      </c>
      <c r="AG93">
        <f t="shared" ca="1" si="100"/>
        <v>-3249.581256786762</v>
      </c>
      <c r="AH93">
        <f t="shared" ca="1" si="99"/>
        <v>-0.04</v>
      </c>
      <c r="AI93">
        <f t="shared" ca="1" si="98"/>
        <v>77989.950162882276</v>
      </c>
      <c r="AJ93" s="60">
        <f ca="1">IF($M$14="non-compounding",SUM($AG$17:AG93)+$C$3,IFERROR(IF(AH93&gt;0,(AJ92*(1-$D$10)),(AJ92*(1-$D$11)))+AI93,""))</f>
        <v>199849.24729238584</v>
      </c>
    </row>
    <row r="94" spans="1:36" x14ac:dyDescent="0.25">
      <c r="A94" s="74"/>
      <c r="B94" s="76"/>
      <c r="C94" s="76"/>
      <c r="D94" s="76"/>
      <c r="E94" s="76"/>
      <c r="F94" s="74"/>
      <c r="G94" s="232">
        <f t="shared" si="85"/>
        <v>78</v>
      </c>
      <c r="H94" s="182">
        <f t="shared" ca="1" si="93"/>
        <v>217731.38203935284</v>
      </c>
      <c r="I94" s="183" t="str">
        <f t="shared" ca="1" si="86"/>
        <v>WIN</v>
      </c>
      <c r="J94" s="184">
        <f t="shared" ca="1" si="87"/>
        <v>26127.76584472234</v>
      </c>
      <c r="K94" s="185">
        <f t="shared" ca="1" si="94"/>
        <v>0.12</v>
      </c>
      <c r="L94" s="182">
        <f t="shared" ca="1" si="88"/>
        <v>243859.14788407518</v>
      </c>
      <c r="M94" s="182">
        <f ca="1">IF($M$14="non-compounding",SUM($J$17:J94)+$C$3,IFERROR(IF(I94="win",(M93*(1-$C$10)),(M93*(1-$C$11)))+L94,""))</f>
        <v>337172.59732951212</v>
      </c>
      <c r="N94" s="186">
        <f t="shared" ca="1" si="89"/>
        <v>2.371725973295121</v>
      </c>
      <c r="O94" s="74"/>
      <c r="Q94">
        <f t="shared" si="90"/>
        <v>78</v>
      </c>
      <c r="R94">
        <f t="shared" ca="1" si="91"/>
        <v>0.12</v>
      </c>
      <c r="S94">
        <v>78</v>
      </c>
      <c r="T94">
        <f t="shared" ca="1" si="95"/>
        <v>-0.04</v>
      </c>
      <c r="U94">
        <f t="shared" ca="1" si="92"/>
        <v>0.12</v>
      </c>
      <c r="V94">
        <f ca="1">COUNTIF($U$17:U93,$C$8)</f>
        <v>24</v>
      </c>
      <c r="W94">
        <f ca="1">COUNTIF($U$17:U93,$C$9)</f>
        <v>53</v>
      </c>
      <c r="AC94">
        <f t="shared" ca="1" si="96"/>
        <v>-0.04</v>
      </c>
      <c r="AD94">
        <f ca="1">COUNTIF($AC$17:AC93,$D$8)</f>
        <v>26</v>
      </c>
      <c r="AE94">
        <f ca="1">COUNTIF($AC$17:AC93,$D$9)</f>
        <v>51</v>
      </c>
      <c r="AF94">
        <f t="shared" ca="1" si="97"/>
        <v>79939.698916954338</v>
      </c>
      <c r="AG94">
        <f t="shared" ca="1" si="100"/>
        <v>-3197.5879566781737</v>
      </c>
      <c r="AH94">
        <f t="shared" ca="1" si="99"/>
        <v>-0.04</v>
      </c>
      <c r="AI94">
        <f t="shared" ca="1" si="98"/>
        <v>76742.110960276157</v>
      </c>
      <c r="AJ94" s="60">
        <f ca="1">IF($M$14="non-compounding",SUM($AG$17:AG94)+$C$3,IFERROR(IF(AH94&gt;0,(AJ93*(1-$D$10)),(AJ93*(1-$D$11)))+AI94,""))</f>
        <v>196651.65933570766</v>
      </c>
    </row>
    <row r="95" spans="1:36" x14ac:dyDescent="0.25">
      <c r="A95" s="74"/>
      <c r="B95" s="76"/>
      <c r="C95" s="76"/>
      <c r="D95" s="76"/>
      <c r="E95" s="76"/>
      <c r="F95" s="74"/>
      <c r="G95" s="232">
        <f t="shared" si="85"/>
        <v>79</v>
      </c>
      <c r="H95" s="182">
        <f t="shared" ca="1" si="93"/>
        <v>134869.03893180485</v>
      </c>
      <c r="I95" s="183" t="str">
        <f t="shared" ca="1" si="86"/>
        <v>LOSS</v>
      </c>
      <c r="J95" s="184">
        <f t="shared" ca="1" si="87"/>
        <v>-5057.5889599426819</v>
      </c>
      <c r="K95" s="185">
        <f t="shared" ca="1" si="94"/>
        <v>-3.7499999999999999E-2</v>
      </c>
      <c r="L95" s="182">
        <f t="shared" ca="1" si="88"/>
        <v>129811.44997186217</v>
      </c>
      <c r="M95" s="182">
        <f ca="1">IF($M$14="non-compounding",SUM($J$17:J95)+$C$3,IFERROR(IF(I95="win",(M94*(1-$C$10)),(M94*(1-$C$11)))+L95,""))</f>
        <v>332115.00836956943</v>
      </c>
      <c r="N95" s="186">
        <f t="shared" ca="1" si="89"/>
        <v>2.3211500836956942</v>
      </c>
      <c r="O95" s="74"/>
      <c r="Q95">
        <f t="shared" si="90"/>
        <v>79</v>
      </c>
      <c r="R95">
        <f t="shared" ca="1" si="91"/>
        <v>-3.7499999999999999E-2</v>
      </c>
      <c r="S95">
        <v>79</v>
      </c>
      <c r="T95">
        <f t="shared" ca="1" si="95"/>
        <v>-0.04</v>
      </c>
      <c r="U95">
        <f t="shared" ca="1" si="92"/>
        <v>-3.7499999999999999E-2</v>
      </c>
      <c r="V95">
        <f ca="1">COUNTIF($U$17:U94,$C$8)</f>
        <v>25</v>
      </c>
      <c r="W95">
        <f ca="1">COUNTIF($U$17:U94,$C$9)</f>
        <v>53</v>
      </c>
      <c r="AC95">
        <f t="shared" ca="1" si="96"/>
        <v>-0.04</v>
      </c>
      <c r="AD95">
        <f ca="1">COUNTIF($AC$17:AC94,$D$8)</f>
        <v>26</v>
      </c>
      <c r="AE95">
        <f ca="1">COUNTIF($AC$17:AC94,$D$9)</f>
        <v>52</v>
      </c>
      <c r="AF95">
        <f t="shared" ca="1" si="97"/>
        <v>78660.663734283065</v>
      </c>
      <c r="AG95">
        <f t="shared" ca="1" si="100"/>
        <v>-3146.4265493713228</v>
      </c>
      <c r="AH95">
        <f t="shared" ca="1" si="99"/>
        <v>-0.04</v>
      </c>
      <c r="AI95">
        <f t="shared" ca="1" si="98"/>
        <v>75514.237184911748</v>
      </c>
      <c r="AJ95" s="60">
        <f ca="1">IF($M$14="non-compounding",SUM($AG$17:AG95)+$C$3,IFERROR(IF(AH95&gt;0,(AJ94*(1-$D$10)),(AJ94*(1-$D$11)))+AI95,""))</f>
        <v>193505.23278633633</v>
      </c>
    </row>
    <row r="96" spans="1:36" x14ac:dyDescent="0.25">
      <c r="A96" s="74"/>
      <c r="B96" s="76"/>
      <c r="C96" s="76"/>
      <c r="D96" s="76"/>
      <c r="E96" s="76"/>
      <c r="F96" s="74"/>
      <c r="G96" s="232">
        <f t="shared" si="85"/>
        <v>80</v>
      </c>
      <c r="H96" s="182">
        <f t="shared" ca="1" si="93"/>
        <v>132846.00334782779</v>
      </c>
      <c r="I96" s="183" t="str">
        <f t="shared" ca="1" si="86"/>
        <v>LOSS</v>
      </c>
      <c r="J96" s="184">
        <f t="shared" ca="1" si="87"/>
        <v>-4981.7251255435422</v>
      </c>
      <c r="K96" s="185">
        <f t="shared" ca="1" si="94"/>
        <v>-3.7499999999999999E-2</v>
      </c>
      <c r="L96" s="182">
        <f t="shared" ca="1" si="88"/>
        <v>127864.27822228425</v>
      </c>
      <c r="M96" s="182">
        <f ca="1">IF($M$14="non-compounding",SUM($J$17:J96)+$C$3,IFERROR(IF(I96="win",(M95*(1-$C$10)),(M95*(1-$C$11)))+L96,""))</f>
        <v>327133.28324402589</v>
      </c>
      <c r="N96" s="186">
        <f t="shared" ca="1" si="89"/>
        <v>2.2713328324402591</v>
      </c>
      <c r="O96" s="74"/>
      <c r="Q96">
        <f t="shared" si="90"/>
        <v>80</v>
      </c>
      <c r="R96">
        <f t="shared" ca="1" si="91"/>
        <v>-3.7499999999999999E-2</v>
      </c>
      <c r="S96">
        <v>80</v>
      </c>
      <c r="T96">
        <f t="shared" ca="1" si="95"/>
        <v>-0.04</v>
      </c>
      <c r="U96">
        <f t="shared" ca="1" si="92"/>
        <v>-3.7499999999999999E-2</v>
      </c>
      <c r="V96">
        <f ca="1">COUNTIF($U$17:U95,$C$8)</f>
        <v>25</v>
      </c>
      <c r="W96">
        <f ca="1">COUNTIF($U$17:U95,$C$9)</f>
        <v>54</v>
      </c>
      <c r="AC96">
        <f t="shared" ca="1" si="96"/>
        <v>-0.04</v>
      </c>
      <c r="AD96">
        <f ca="1">COUNTIF($AC$17:AC95,$D$8)</f>
        <v>26</v>
      </c>
      <c r="AE96">
        <f ca="1">COUNTIF($AC$17:AC95,$D$9)</f>
        <v>53</v>
      </c>
      <c r="AF96">
        <f t="shared" ca="1" si="97"/>
        <v>77402.093114534538</v>
      </c>
      <c r="AG96">
        <f t="shared" ca="1" si="100"/>
        <v>-3096.0837245813818</v>
      </c>
      <c r="AH96">
        <f t="shared" ca="1" si="99"/>
        <v>-0.04</v>
      </c>
      <c r="AI96">
        <f t="shared" ca="1" si="98"/>
        <v>74306.009389953164</v>
      </c>
      <c r="AJ96" s="60">
        <f ca="1">IF($M$14="non-compounding",SUM($AG$17:AG96)+$C$3,IFERROR(IF(AH96&gt;0,(AJ95*(1-$D$10)),(AJ95*(1-$D$11)))+AI96,""))</f>
        <v>190409.14906175496</v>
      </c>
    </row>
    <row r="97" spans="1:36" x14ac:dyDescent="0.25">
      <c r="A97" s="74"/>
      <c r="B97" s="76"/>
      <c r="C97" s="76"/>
      <c r="D97" s="76"/>
      <c r="E97" s="76"/>
      <c r="F97" s="74"/>
      <c r="G97" s="232">
        <f t="shared" si="85"/>
        <v>81</v>
      </c>
      <c r="H97" s="182">
        <f t="shared" ca="1" si="93"/>
        <v>130853.31329761037</v>
      </c>
      <c r="I97" s="183" t="str">
        <f t="shared" ca="1" si="86"/>
        <v>LOSS</v>
      </c>
      <c r="J97" s="184">
        <f t="shared" ca="1" si="87"/>
        <v>-4906.9992486603887</v>
      </c>
      <c r="K97" s="185">
        <f t="shared" ca="1" si="94"/>
        <v>-3.7499999999999999E-2</v>
      </c>
      <c r="L97" s="182">
        <f t="shared" ca="1" si="88"/>
        <v>125946.31404894998</v>
      </c>
      <c r="M97" s="182">
        <f ca="1">IF($M$14="non-compounding",SUM($J$17:J97)+$C$3,IFERROR(IF(I97="win",(M96*(1-$C$10)),(M96*(1-$C$11)))+L97,""))</f>
        <v>322226.28399536549</v>
      </c>
      <c r="N97" s="186">
        <f t="shared" ca="1" si="89"/>
        <v>2.2222628399536548</v>
      </c>
      <c r="O97" s="74"/>
      <c r="Q97">
        <f t="shared" si="90"/>
        <v>81</v>
      </c>
      <c r="R97">
        <f t="shared" ca="1" si="91"/>
        <v>-3.7499999999999999E-2</v>
      </c>
      <c r="S97">
        <v>81</v>
      </c>
      <c r="T97">
        <f t="shared" ca="1" si="95"/>
        <v>0.15</v>
      </c>
      <c r="U97">
        <f t="shared" ca="1" si="92"/>
        <v>-3.7499999999999999E-2</v>
      </c>
      <c r="V97">
        <f ca="1">COUNTIF($U$17:U96,$C$8)</f>
        <v>25</v>
      </c>
      <c r="W97">
        <f ca="1">COUNTIF($U$17:U96,$C$9)</f>
        <v>55</v>
      </c>
      <c r="AC97">
        <f t="shared" ca="1" si="96"/>
        <v>0.15</v>
      </c>
      <c r="AD97">
        <f ca="1">COUNTIF($AC$17:AC96,$D$8)</f>
        <v>26</v>
      </c>
      <c r="AE97">
        <f ca="1">COUNTIF($AC$17:AC96,$D$9)</f>
        <v>54</v>
      </c>
      <c r="AF97">
        <f t="shared" ca="1" si="97"/>
        <v>76163.659624701992</v>
      </c>
      <c r="AG97">
        <f t="shared" ca="1" si="100"/>
        <v>11424.548943705298</v>
      </c>
      <c r="AH97">
        <f t="shared" ca="1" si="99"/>
        <v>0.15</v>
      </c>
      <c r="AI97">
        <f t="shared" ca="1" si="98"/>
        <v>87588.208568407295</v>
      </c>
      <c r="AJ97" s="60">
        <f ca="1">IF($M$14="non-compounding",SUM($AG$17:AG97)+$C$3,IFERROR(IF(AH97&gt;0,(AJ96*(1-$D$10)),(AJ96*(1-$D$11)))+AI97,""))</f>
        <v>201833.69800546026</v>
      </c>
    </row>
    <row r="98" spans="1:36" x14ac:dyDescent="0.25">
      <c r="A98" s="74"/>
      <c r="B98" s="76"/>
      <c r="C98" s="76"/>
      <c r="D98" s="76"/>
      <c r="E98" s="76"/>
      <c r="F98" s="74"/>
      <c r="G98" s="232">
        <f t="shared" si="85"/>
        <v>82</v>
      </c>
      <c r="H98" s="182">
        <f t="shared" ca="1" si="93"/>
        <v>128890.51359814621</v>
      </c>
      <c r="I98" s="183" t="str">
        <f t="shared" ca="1" si="86"/>
        <v>LOSS</v>
      </c>
      <c r="J98" s="184">
        <f t="shared" ca="1" si="87"/>
        <v>-4833.3942599304828</v>
      </c>
      <c r="K98" s="185">
        <f t="shared" ca="1" si="94"/>
        <v>-3.7499999999999999E-2</v>
      </c>
      <c r="L98" s="182">
        <f t="shared" ca="1" si="88"/>
        <v>124057.11933821572</v>
      </c>
      <c r="M98" s="182">
        <f ca="1">IF($M$14="non-compounding",SUM($J$17:J98)+$C$3,IFERROR(IF(I98="win",(M97*(1-$C$10)),(M97*(1-$C$11)))+L98,""))</f>
        <v>317392.88973543502</v>
      </c>
      <c r="N98" s="186">
        <f t="shared" ca="1" si="89"/>
        <v>2.17392889735435</v>
      </c>
      <c r="O98" s="74"/>
      <c r="Q98">
        <f t="shared" si="90"/>
        <v>82</v>
      </c>
      <c r="R98">
        <f t="shared" ca="1" si="91"/>
        <v>0.12</v>
      </c>
      <c r="S98">
        <v>82</v>
      </c>
      <c r="T98">
        <f t="shared" ca="1" si="95"/>
        <v>-0.04</v>
      </c>
      <c r="U98">
        <f t="shared" ca="1" si="92"/>
        <v>0.12</v>
      </c>
      <c r="V98">
        <f ca="1">COUNTIF($U$17:U97,$C$8)</f>
        <v>25</v>
      </c>
      <c r="W98">
        <f ca="1">COUNTIF($U$17:U97,$C$9)</f>
        <v>56</v>
      </c>
      <c r="AC98">
        <f t="shared" ca="1" si="96"/>
        <v>-0.04</v>
      </c>
      <c r="AD98">
        <f ca="1">COUNTIF($AC$17:AC97,$D$8)</f>
        <v>27</v>
      </c>
      <c r="AE98">
        <f ca="1">COUNTIF($AC$17:AC97,$D$9)</f>
        <v>54</v>
      </c>
      <c r="AF98">
        <f t="shared" ca="1" si="97"/>
        <v>80733.479202184113</v>
      </c>
      <c r="AG98">
        <f t="shared" ca="1" si="100"/>
        <v>-3229.3391680873647</v>
      </c>
      <c r="AH98">
        <f t="shared" ca="1" si="99"/>
        <v>-0.04</v>
      </c>
      <c r="AI98">
        <f t="shared" ca="1" si="98"/>
        <v>77504.140034096752</v>
      </c>
      <c r="AJ98" s="60">
        <f ca="1">IF($M$14="non-compounding",SUM($AG$17:AG98)+$C$3,IFERROR(IF(AH98&gt;0,(AJ97*(1-$D$10)),(AJ97*(1-$D$11)))+AI98,""))</f>
        <v>198604.35883737291</v>
      </c>
    </row>
    <row r="99" spans="1:36" x14ac:dyDescent="0.25">
      <c r="A99" s="74"/>
      <c r="B99" s="76"/>
      <c r="C99" s="76"/>
      <c r="D99" s="76"/>
      <c r="E99" s="76"/>
      <c r="F99" s="74"/>
      <c r="G99" s="232">
        <f t="shared" si="85"/>
        <v>83</v>
      </c>
      <c r="H99" s="182">
        <f t="shared" ca="1" si="93"/>
        <v>126957.15589417401</v>
      </c>
      <c r="I99" s="183" t="str">
        <f t="shared" ca="1" si="86"/>
        <v>LOSS</v>
      </c>
      <c r="J99" s="184">
        <f t="shared" ca="1" si="87"/>
        <v>-4760.8933460315247</v>
      </c>
      <c r="K99" s="185">
        <f t="shared" ca="1" si="94"/>
        <v>-3.7499999999999999E-2</v>
      </c>
      <c r="L99" s="182">
        <f t="shared" ca="1" si="88"/>
        <v>122196.26254814248</v>
      </c>
      <c r="M99" s="182">
        <f ca="1">IF($M$14="non-compounding",SUM($J$17:J99)+$C$3,IFERROR(IF(I99="win",(M98*(1-$C$10)),(M98*(1-$C$11)))+L99,""))</f>
        <v>312631.99638940347</v>
      </c>
      <c r="N99" s="186">
        <f t="shared" ca="1" si="89"/>
        <v>2.1263199638940349</v>
      </c>
      <c r="O99" s="74"/>
      <c r="Q99">
        <f t="shared" si="90"/>
        <v>83</v>
      </c>
      <c r="R99">
        <f t="shared" ca="1" si="91"/>
        <v>-3.7499999999999999E-2</v>
      </c>
      <c r="S99">
        <v>83</v>
      </c>
      <c r="T99">
        <f t="shared" ca="1" si="95"/>
        <v>-0.04</v>
      </c>
      <c r="U99">
        <f t="shared" ca="1" si="92"/>
        <v>0.12</v>
      </c>
      <c r="V99">
        <f ca="1">COUNTIF($U$17:U98,$C$8)</f>
        <v>26</v>
      </c>
      <c r="W99">
        <f ca="1">COUNTIF($U$17:U98,$C$9)</f>
        <v>56</v>
      </c>
      <c r="AC99">
        <f t="shared" ca="1" si="96"/>
        <v>-0.04</v>
      </c>
      <c r="AD99">
        <f ca="1">COUNTIF($AC$17:AC98,$D$8)</f>
        <v>27</v>
      </c>
      <c r="AE99">
        <f ca="1">COUNTIF($AC$17:AC98,$D$9)</f>
        <v>55</v>
      </c>
      <c r="AF99">
        <f t="shared" ca="1" si="97"/>
        <v>79441.743534949172</v>
      </c>
      <c r="AG99">
        <f t="shared" ca="1" si="100"/>
        <v>-3177.6697413979668</v>
      </c>
      <c r="AH99">
        <f t="shared" ca="1" si="99"/>
        <v>-0.04</v>
      </c>
      <c r="AI99">
        <f t="shared" ca="1" si="98"/>
        <v>76264.073793551201</v>
      </c>
      <c r="AJ99" s="60">
        <f ca="1">IF($M$14="non-compounding",SUM($AG$17:AG99)+$C$3,IFERROR(IF(AH99&gt;0,(AJ98*(1-$D$10)),(AJ98*(1-$D$11)))+AI99,""))</f>
        <v>195426.68909597496</v>
      </c>
    </row>
    <row r="100" spans="1:36" x14ac:dyDescent="0.25">
      <c r="A100" s="74"/>
      <c r="B100" s="76"/>
      <c r="C100" s="76"/>
      <c r="D100" s="76"/>
      <c r="E100" s="76"/>
      <c r="F100" s="74"/>
      <c r="G100" s="232">
        <f t="shared" si="85"/>
        <v>84</v>
      </c>
      <c r="H100" s="182">
        <f t="shared" ca="1" si="93"/>
        <v>125052.7985557614</v>
      </c>
      <c r="I100" s="183" t="str">
        <f t="shared" ca="1" si="86"/>
        <v>LOSS</v>
      </c>
      <c r="J100" s="184">
        <f t="shared" ca="1" si="87"/>
        <v>-4689.4799458410525</v>
      </c>
      <c r="K100" s="185">
        <f t="shared" ca="1" si="94"/>
        <v>-3.7499999999999999E-2</v>
      </c>
      <c r="L100" s="182">
        <f t="shared" ca="1" si="88"/>
        <v>120363.31860992034</v>
      </c>
      <c r="M100" s="182">
        <f ca="1">IF($M$14="non-compounding",SUM($J$17:J100)+$C$3,IFERROR(IF(I100="win",(M99*(1-$C$10)),(M99*(1-$C$11)))+L100,""))</f>
        <v>307942.5164435624</v>
      </c>
      <c r="N100" s="186">
        <f t="shared" ca="1" si="89"/>
        <v>2.0794251644356239</v>
      </c>
      <c r="O100" s="74"/>
      <c r="Q100">
        <f t="shared" si="90"/>
        <v>84</v>
      </c>
      <c r="R100">
        <f t="shared" ca="1" si="91"/>
        <v>-3.7499999999999999E-2</v>
      </c>
      <c r="S100">
        <v>84</v>
      </c>
      <c r="T100">
        <f t="shared" ca="1" si="95"/>
        <v>-0.04</v>
      </c>
      <c r="U100">
        <f t="shared" ca="1" si="92"/>
        <v>0.12</v>
      </c>
      <c r="V100">
        <f ca="1">COUNTIF($U$17:U99,$C$8)</f>
        <v>27</v>
      </c>
      <c r="W100">
        <f ca="1">COUNTIF($U$17:U99,$C$9)</f>
        <v>56</v>
      </c>
      <c r="AC100">
        <f t="shared" ca="1" si="96"/>
        <v>-0.04</v>
      </c>
      <c r="AD100">
        <f ca="1">COUNTIF($AC$17:AC99,$D$8)</f>
        <v>27</v>
      </c>
      <c r="AE100">
        <f ca="1">COUNTIF($AC$17:AC99,$D$9)</f>
        <v>56</v>
      </c>
      <c r="AF100">
        <f t="shared" ca="1" si="97"/>
        <v>78170.675638389992</v>
      </c>
      <c r="AG100">
        <f t="shared" ca="1" si="100"/>
        <v>-3126.8270255355997</v>
      </c>
      <c r="AH100">
        <f t="shared" ca="1" si="99"/>
        <v>-0.04</v>
      </c>
      <c r="AI100">
        <f t="shared" ca="1" si="98"/>
        <v>75043.848612854388</v>
      </c>
      <c r="AJ100" s="60">
        <f ca="1">IF($M$14="non-compounding",SUM($AG$17:AG100)+$C$3,IFERROR(IF(AH100&gt;0,(AJ99*(1-$D$10)),(AJ99*(1-$D$11)))+AI100,""))</f>
        <v>192299.86207043935</v>
      </c>
    </row>
    <row r="101" spans="1:36" x14ac:dyDescent="0.25">
      <c r="A101" s="74"/>
      <c r="B101" s="76"/>
      <c r="C101" s="76"/>
      <c r="D101" s="76"/>
      <c r="E101" s="76"/>
      <c r="F101" s="74"/>
      <c r="G101" s="232">
        <f t="shared" si="85"/>
        <v>85</v>
      </c>
      <c r="H101" s="182">
        <f t="shared" ca="1" si="93"/>
        <v>123177.00657742497</v>
      </c>
      <c r="I101" s="183" t="str">
        <f t="shared" ca="1" si="86"/>
        <v>LOSS</v>
      </c>
      <c r="J101" s="184">
        <f t="shared" ca="1" si="87"/>
        <v>-4619.1377466534359</v>
      </c>
      <c r="K101" s="185">
        <f t="shared" ca="1" si="94"/>
        <v>-3.7499999999999999E-2</v>
      </c>
      <c r="L101" s="182">
        <f t="shared" ca="1" si="88"/>
        <v>118557.86883077153</v>
      </c>
      <c r="M101" s="182">
        <f ca="1">IF($M$14="non-compounding",SUM($J$17:J101)+$C$3,IFERROR(IF(I101="win",(M100*(1-$C$10)),(M100*(1-$C$11)))+L101,""))</f>
        <v>303323.37869690894</v>
      </c>
      <c r="N101" s="186">
        <f t="shared" ca="1" si="89"/>
        <v>2.0332337869690895</v>
      </c>
      <c r="O101" s="74"/>
      <c r="Q101">
        <f t="shared" si="90"/>
        <v>85</v>
      </c>
      <c r="R101">
        <f t="shared" ca="1" si="91"/>
        <v>-3.7499999999999999E-2</v>
      </c>
      <c r="S101">
        <v>85</v>
      </c>
      <c r="T101">
        <f t="shared" ca="1" si="95"/>
        <v>-0.04</v>
      </c>
      <c r="U101">
        <f t="shared" ca="1" si="92"/>
        <v>0.12</v>
      </c>
      <c r="V101">
        <f ca="1">COUNTIF($U$17:U100,$C$8)</f>
        <v>28</v>
      </c>
      <c r="W101">
        <f ca="1">COUNTIF($U$17:U100,$C$9)</f>
        <v>56</v>
      </c>
      <c r="AC101">
        <f t="shared" ca="1" si="96"/>
        <v>-0.04</v>
      </c>
      <c r="AD101">
        <f ca="1">COUNTIF($AC$17:AC100,$D$8)</f>
        <v>27</v>
      </c>
      <c r="AE101">
        <f ca="1">COUNTIF($AC$17:AC100,$D$9)</f>
        <v>57</v>
      </c>
      <c r="AF101">
        <f t="shared" ca="1" si="97"/>
        <v>76919.94482817575</v>
      </c>
      <c r="AG101">
        <f t="shared" ca="1" si="100"/>
        <v>-3076.7977931270302</v>
      </c>
      <c r="AH101">
        <f t="shared" ca="1" si="99"/>
        <v>-0.04</v>
      </c>
      <c r="AI101">
        <f t="shared" ca="1" si="98"/>
        <v>73843.147035048722</v>
      </c>
      <c r="AJ101" s="60">
        <f ca="1">IF($M$14="non-compounding",SUM($AG$17:AG101)+$C$3,IFERROR(IF(AH101&gt;0,(AJ100*(1-$D$10)),(AJ100*(1-$D$11)))+AI101,""))</f>
        <v>189223.06427731231</v>
      </c>
    </row>
    <row r="102" spans="1:36" x14ac:dyDescent="0.25">
      <c r="A102" s="74"/>
      <c r="B102" s="76"/>
      <c r="C102" s="76"/>
      <c r="D102" s="76"/>
      <c r="E102" s="76"/>
      <c r="F102" s="74"/>
      <c r="G102" s="232">
        <f t="shared" si="85"/>
        <v>86</v>
      </c>
      <c r="H102" s="182">
        <f t="shared" ca="1" si="93"/>
        <v>121329.35147876358</v>
      </c>
      <c r="I102" s="183" t="str">
        <f t="shared" ca="1" si="86"/>
        <v>LOSS</v>
      </c>
      <c r="J102" s="184">
        <f t="shared" ca="1" si="87"/>
        <v>-4549.8506804536337</v>
      </c>
      <c r="K102" s="185">
        <f t="shared" ca="1" si="94"/>
        <v>-3.7499999999999999E-2</v>
      </c>
      <c r="L102" s="182">
        <f t="shared" ca="1" si="88"/>
        <v>116779.50079830995</v>
      </c>
      <c r="M102" s="182">
        <f ca="1">IF($M$14="non-compounding",SUM($J$17:J102)+$C$3,IFERROR(IF(I102="win",(M101*(1-$C$10)),(M101*(1-$C$11)))+L102,""))</f>
        <v>298773.5280164553</v>
      </c>
      <c r="N102" s="186">
        <f t="shared" ca="1" si="89"/>
        <v>1.9877352801645529</v>
      </c>
      <c r="O102" s="74"/>
      <c r="Q102">
        <f t="shared" si="90"/>
        <v>86</v>
      </c>
      <c r="R102">
        <f t="shared" ca="1" si="91"/>
        <v>-3.7499999999999999E-2</v>
      </c>
      <c r="S102">
        <v>86</v>
      </c>
      <c r="T102">
        <f t="shared" ca="1" si="95"/>
        <v>0.15</v>
      </c>
      <c r="U102">
        <f t="shared" ca="1" si="92"/>
        <v>-3.7499999999999999E-2</v>
      </c>
      <c r="V102">
        <f ca="1">COUNTIF($U$17:U101,$C$8)</f>
        <v>29</v>
      </c>
      <c r="W102">
        <f ca="1">COUNTIF($U$17:U101,$C$9)</f>
        <v>56</v>
      </c>
      <c r="AC102">
        <f t="shared" ca="1" si="96"/>
        <v>0.15</v>
      </c>
      <c r="AD102">
        <f ca="1">COUNTIF($AC$17:AC101,$D$8)</f>
        <v>27</v>
      </c>
      <c r="AE102">
        <f ca="1">COUNTIF($AC$17:AC101,$D$9)</f>
        <v>58</v>
      </c>
      <c r="AF102">
        <f t="shared" ca="1" si="97"/>
        <v>75689.225710924933</v>
      </c>
      <c r="AG102">
        <f t="shared" ca="1" si="100"/>
        <v>11353.38385663874</v>
      </c>
      <c r="AH102">
        <f t="shared" ca="1" si="99"/>
        <v>0.15</v>
      </c>
      <c r="AI102">
        <f t="shared" ca="1" si="98"/>
        <v>87042.609567563675</v>
      </c>
      <c r="AJ102" s="60">
        <f ca="1">IF($M$14="non-compounding",SUM($AG$17:AG102)+$C$3,IFERROR(IF(AH102&gt;0,(AJ101*(1-$D$10)),(AJ101*(1-$D$11)))+AI102,""))</f>
        <v>200576.44813395105</v>
      </c>
    </row>
    <row r="103" spans="1:36" x14ac:dyDescent="0.25">
      <c r="A103" s="74"/>
      <c r="B103" s="76"/>
      <c r="C103" s="76"/>
      <c r="D103" s="76"/>
      <c r="E103" s="76"/>
      <c r="F103" s="74"/>
      <c r="G103" s="232">
        <f t="shared" si="85"/>
        <v>87</v>
      </c>
      <c r="H103" s="182">
        <f t="shared" ca="1" si="93"/>
        <v>119509.41120658212</v>
      </c>
      <c r="I103" s="183" t="str">
        <f t="shared" ca="1" si="86"/>
        <v>LOSS</v>
      </c>
      <c r="J103" s="184">
        <f t="shared" ca="1" si="87"/>
        <v>-4481.6029202468299</v>
      </c>
      <c r="K103" s="185">
        <f t="shared" ca="1" si="94"/>
        <v>-3.7499999999999999E-2</v>
      </c>
      <c r="L103" s="182">
        <f t="shared" ca="1" si="88"/>
        <v>115027.80828633529</v>
      </c>
      <c r="M103" s="182">
        <f ca="1">IF($M$14="non-compounding",SUM($J$17:J103)+$C$3,IFERROR(IF(I103="win",(M102*(1-$C$10)),(M102*(1-$C$11)))+L103,""))</f>
        <v>294291.92509620846</v>
      </c>
      <c r="N103" s="186">
        <f t="shared" ca="1" si="89"/>
        <v>1.9429192509620847</v>
      </c>
      <c r="O103" s="74"/>
      <c r="Q103">
        <f t="shared" si="90"/>
        <v>87</v>
      </c>
      <c r="R103">
        <f t="shared" ca="1" si="91"/>
        <v>-3.7499999999999999E-2</v>
      </c>
      <c r="S103">
        <v>87</v>
      </c>
      <c r="T103">
        <f t="shared" ca="1" si="95"/>
        <v>-0.04</v>
      </c>
      <c r="U103">
        <f t="shared" ca="1" si="92"/>
        <v>-3.7499999999999999E-2</v>
      </c>
      <c r="V103">
        <f ca="1">COUNTIF($U$17:U102,$C$8)</f>
        <v>29</v>
      </c>
      <c r="W103">
        <f ca="1">COUNTIF($U$17:U102,$C$9)</f>
        <v>57</v>
      </c>
      <c r="AC103">
        <f t="shared" ca="1" si="96"/>
        <v>-0.04</v>
      </c>
      <c r="AD103">
        <f ca="1">COUNTIF($AC$17:AC102,$D$8)</f>
        <v>28</v>
      </c>
      <c r="AE103">
        <f ca="1">COUNTIF($AC$17:AC102,$D$9)</f>
        <v>58</v>
      </c>
      <c r="AF103">
        <f t="shared" ca="1" si="97"/>
        <v>80230.579253580421</v>
      </c>
      <c r="AG103">
        <f t="shared" ca="1" si="100"/>
        <v>-3209.223170143217</v>
      </c>
      <c r="AH103">
        <f t="shared" ca="1" si="99"/>
        <v>-0.04</v>
      </c>
      <c r="AI103">
        <f t="shared" ca="1" si="98"/>
        <v>77021.356083437204</v>
      </c>
      <c r="AJ103" s="60">
        <f ca="1">IF($M$14="non-compounding",SUM($AG$17:AG103)+$C$3,IFERROR(IF(AH103&gt;0,(AJ102*(1-$D$10)),(AJ102*(1-$D$11)))+AI103,""))</f>
        <v>197367.22496380785</v>
      </c>
    </row>
    <row r="104" spans="1:36" x14ac:dyDescent="0.25">
      <c r="A104" s="74"/>
      <c r="B104" s="76"/>
      <c r="C104" s="76"/>
      <c r="D104" s="76"/>
      <c r="E104" s="76"/>
      <c r="F104" s="74"/>
      <c r="G104" s="232">
        <f t="shared" si="85"/>
        <v>88</v>
      </c>
      <c r="H104" s="182">
        <f t="shared" ca="1" si="93"/>
        <v>117716.77003848339</v>
      </c>
      <c r="I104" s="183" t="str">
        <f t="shared" ca="1" si="86"/>
        <v>LOSS</v>
      </c>
      <c r="J104" s="184">
        <f t="shared" ca="1" si="87"/>
        <v>-4414.3788764431265</v>
      </c>
      <c r="K104" s="185">
        <f t="shared" ca="1" si="94"/>
        <v>-3.7499999999999999E-2</v>
      </c>
      <c r="L104" s="182">
        <f t="shared" ca="1" si="88"/>
        <v>113302.39116204027</v>
      </c>
      <c r="M104" s="182">
        <f ca="1">IF($M$14="non-compounding",SUM($J$17:J104)+$C$3,IFERROR(IF(I104="win",(M103*(1-$C$10)),(M103*(1-$C$11)))+L104,""))</f>
        <v>289877.54621976533</v>
      </c>
      <c r="N104" s="186">
        <f t="shared" ca="1" si="89"/>
        <v>1.8987754621976531</v>
      </c>
      <c r="O104" s="74"/>
      <c r="Q104">
        <f t="shared" si="90"/>
        <v>88</v>
      </c>
      <c r="R104">
        <f t="shared" ca="1" si="91"/>
        <v>-3.7499999999999999E-2</v>
      </c>
      <c r="S104">
        <v>88</v>
      </c>
      <c r="T104">
        <f t="shared" ca="1" si="95"/>
        <v>-0.04</v>
      </c>
      <c r="U104">
        <f t="shared" ca="1" si="92"/>
        <v>0.12</v>
      </c>
      <c r="V104">
        <f ca="1">COUNTIF($U$17:U103,$C$8)</f>
        <v>29</v>
      </c>
      <c r="W104">
        <f ca="1">COUNTIF($U$17:U103,$C$9)</f>
        <v>58</v>
      </c>
      <c r="AC104">
        <f t="shared" ca="1" si="96"/>
        <v>-0.04</v>
      </c>
      <c r="AD104">
        <f ca="1">COUNTIF($AC$17:AC103,$D$8)</f>
        <v>28</v>
      </c>
      <c r="AE104">
        <f ca="1">COUNTIF($AC$17:AC103,$D$9)</f>
        <v>59</v>
      </c>
      <c r="AF104">
        <f t="shared" ca="1" si="97"/>
        <v>78946.889985523143</v>
      </c>
      <c r="AG104">
        <f t="shared" ca="1" si="100"/>
        <v>-3157.8755994209259</v>
      </c>
      <c r="AH104">
        <f t="shared" ca="1" si="99"/>
        <v>-0.04</v>
      </c>
      <c r="AI104">
        <f t="shared" ca="1" si="98"/>
        <v>75789.014386102222</v>
      </c>
      <c r="AJ104" s="60">
        <f ca="1">IF($M$14="non-compounding",SUM($AG$17:AG104)+$C$3,IFERROR(IF(AH104&gt;0,(AJ103*(1-$D$10)),(AJ103*(1-$D$11)))+AI104,""))</f>
        <v>194209.34936438693</v>
      </c>
    </row>
    <row r="105" spans="1:36" x14ac:dyDescent="0.25">
      <c r="A105" s="74"/>
      <c r="B105" s="76"/>
      <c r="C105" s="76"/>
      <c r="D105" s="76"/>
      <c r="E105" s="76"/>
      <c r="F105" s="74"/>
      <c r="G105" s="232">
        <f t="shared" si="85"/>
        <v>89</v>
      </c>
      <c r="H105" s="182">
        <f t="shared" ca="1" si="93"/>
        <v>115951.01848790614</v>
      </c>
      <c r="I105" s="183" t="str">
        <f t="shared" ca="1" si="86"/>
        <v>LOSS</v>
      </c>
      <c r="J105" s="184">
        <f t="shared" ca="1" si="87"/>
        <v>-4348.1631932964801</v>
      </c>
      <c r="K105" s="185">
        <f t="shared" ca="1" si="94"/>
        <v>-3.7499999999999999E-2</v>
      </c>
      <c r="L105" s="182">
        <f t="shared" ca="1" si="88"/>
        <v>111602.85529460966</v>
      </c>
      <c r="M105" s="182">
        <f ca="1">IF($M$14="non-compounding",SUM($J$17:J105)+$C$3,IFERROR(IF(I105="win",(M104*(1-$C$10)),(M104*(1-$C$11)))+L105,""))</f>
        <v>285529.38302646886</v>
      </c>
      <c r="N105" s="186">
        <f t="shared" ca="1" si="89"/>
        <v>1.8552938302646886</v>
      </c>
      <c r="O105" s="74"/>
      <c r="Q105">
        <f t="shared" si="90"/>
        <v>89</v>
      </c>
      <c r="R105">
        <f t="shared" ca="1" si="91"/>
        <v>-3.7499999999999999E-2</v>
      </c>
      <c r="S105">
        <v>89</v>
      </c>
      <c r="T105">
        <f t="shared" ca="1" si="95"/>
        <v>-0.04</v>
      </c>
      <c r="U105">
        <f t="shared" ca="1" si="92"/>
        <v>-3.7499999999999999E-2</v>
      </c>
      <c r="V105">
        <f ca="1">COUNTIF($U$17:U104,$C$8)</f>
        <v>30</v>
      </c>
      <c r="W105">
        <f ca="1">COUNTIF($U$17:U104,$C$9)</f>
        <v>58</v>
      </c>
      <c r="AC105">
        <f t="shared" ca="1" si="96"/>
        <v>-0.04</v>
      </c>
      <c r="AD105">
        <f ca="1">COUNTIF($AC$17:AC104,$D$8)</f>
        <v>28</v>
      </c>
      <c r="AE105">
        <f ca="1">COUNTIF($AC$17:AC104,$D$9)</f>
        <v>60</v>
      </c>
      <c r="AF105">
        <f t="shared" ca="1" si="97"/>
        <v>77683.739745754778</v>
      </c>
      <c r="AG105">
        <f t="shared" ca="1" si="100"/>
        <v>-3107.3495898301912</v>
      </c>
      <c r="AH105">
        <f t="shared" ca="1" si="99"/>
        <v>-0.04</v>
      </c>
      <c r="AI105">
        <f t="shared" ca="1" si="98"/>
        <v>74576.390155924586</v>
      </c>
      <c r="AJ105" s="60">
        <f ca="1">IF($M$14="non-compounding",SUM($AG$17:AG105)+$C$3,IFERROR(IF(AH105&gt;0,(AJ104*(1-$D$10)),(AJ104*(1-$D$11)))+AI105,""))</f>
        <v>191101.99977455672</v>
      </c>
    </row>
    <row r="106" spans="1:36" x14ac:dyDescent="0.25">
      <c r="A106" s="74"/>
      <c r="B106" s="76"/>
      <c r="C106" s="76"/>
      <c r="D106" s="76"/>
      <c r="E106" s="76"/>
      <c r="F106" s="74"/>
      <c r="G106" s="232">
        <f t="shared" si="85"/>
        <v>90</v>
      </c>
      <c r="H106" s="182">
        <f t="shared" ca="1" si="93"/>
        <v>114211.75321058754</v>
      </c>
      <c r="I106" s="183" t="str">
        <f t="shared" ca="1" si="86"/>
        <v>LOSS</v>
      </c>
      <c r="J106" s="184">
        <f t="shared" ca="1" si="87"/>
        <v>-4282.9407453970325</v>
      </c>
      <c r="K106" s="185">
        <f t="shared" ca="1" si="94"/>
        <v>-3.7499999999999999E-2</v>
      </c>
      <c r="L106" s="182">
        <f t="shared" ca="1" si="88"/>
        <v>109928.81246519051</v>
      </c>
      <c r="M106" s="182">
        <f ca="1">IF($M$14="non-compounding",SUM($J$17:J106)+$C$3,IFERROR(IF(I106="win",(M105*(1-$C$10)),(M105*(1-$C$11)))+L106,""))</f>
        <v>281246.4422810718</v>
      </c>
      <c r="N106" s="186">
        <f t="shared" ca="1" si="89"/>
        <v>1.8124644228107178</v>
      </c>
      <c r="O106" s="74"/>
      <c r="Q106">
        <f t="shared" si="90"/>
        <v>90</v>
      </c>
      <c r="R106">
        <f t="shared" ca="1" si="91"/>
        <v>-3.7499999999999999E-2</v>
      </c>
      <c r="S106">
        <v>90</v>
      </c>
      <c r="T106">
        <f t="shared" ca="1" si="95"/>
        <v>-0.04</v>
      </c>
      <c r="U106">
        <f t="shared" ca="1" si="92"/>
        <v>-3.7499999999999999E-2</v>
      </c>
      <c r="V106">
        <f ca="1">COUNTIF($U$17:U105,$C$8)</f>
        <v>30</v>
      </c>
      <c r="W106">
        <f ca="1">COUNTIF($U$17:U105,$C$9)</f>
        <v>59</v>
      </c>
      <c r="AC106">
        <f t="shared" ca="1" si="96"/>
        <v>-0.04</v>
      </c>
      <c r="AD106">
        <f ca="1">COUNTIF($AC$17:AC105,$D$8)</f>
        <v>28</v>
      </c>
      <c r="AE106">
        <f ca="1">COUNTIF($AC$17:AC105,$D$9)</f>
        <v>61</v>
      </c>
      <c r="AF106">
        <f t="shared" ca="1" si="97"/>
        <v>76440.799909822686</v>
      </c>
      <c r="AG106">
        <f t="shared" ca="1" si="100"/>
        <v>-3057.6319963929077</v>
      </c>
      <c r="AH106">
        <f t="shared" ca="1" si="99"/>
        <v>-0.04</v>
      </c>
      <c r="AI106">
        <f t="shared" ca="1" si="98"/>
        <v>73383.167913429774</v>
      </c>
      <c r="AJ106" s="60">
        <f ca="1">IF($M$14="non-compounding",SUM($AG$17:AG106)+$C$3,IFERROR(IF(AH106&gt;0,(AJ105*(1-$D$10)),(AJ105*(1-$D$11)))+AI106,""))</f>
        <v>188044.36777816381</v>
      </c>
    </row>
    <row r="107" spans="1:36" x14ac:dyDescent="0.25">
      <c r="A107" s="74"/>
      <c r="B107" s="76"/>
      <c r="C107" s="76"/>
      <c r="D107" s="76"/>
      <c r="E107" s="76"/>
      <c r="F107" s="74"/>
      <c r="G107" s="232">
        <f t="shared" si="85"/>
        <v>91</v>
      </c>
      <c r="H107" s="182">
        <f t="shared" ca="1" si="93"/>
        <v>112498.57691242872</v>
      </c>
      <c r="I107" s="183" t="str">
        <f t="shared" ca="1" si="86"/>
        <v>LOSS</v>
      </c>
      <c r="J107" s="184">
        <f t="shared" ca="1" si="87"/>
        <v>-4218.6966342160767</v>
      </c>
      <c r="K107" s="185">
        <f t="shared" ca="1" si="94"/>
        <v>-3.7499999999999999E-2</v>
      </c>
      <c r="L107" s="182">
        <f t="shared" ca="1" si="88"/>
        <v>108279.88027821264</v>
      </c>
      <c r="M107" s="182">
        <f ca="1">IF($M$14="non-compounding",SUM($J$17:J107)+$C$3,IFERROR(IF(I107="win",(M106*(1-$C$10)),(M106*(1-$C$11)))+L107,""))</f>
        <v>277027.74564685574</v>
      </c>
      <c r="N107" s="186">
        <f t="shared" ca="1" si="89"/>
        <v>1.7702774564685573</v>
      </c>
      <c r="O107" s="74"/>
      <c r="Q107">
        <f t="shared" si="90"/>
        <v>91</v>
      </c>
      <c r="R107">
        <f t="shared" ca="1" si="91"/>
        <v>-3.7499999999999999E-2</v>
      </c>
      <c r="S107">
        <v>91</v>
      </c>
      <c r="T107">
        <f t="shared" ca="1" si="95"/>
        <v>-0.04</v>
      </c>
      <c r="U107">
        <f t="shared" ca="1" si="92"/>
        <v>-3.7499999999999999E-2</v>
      </c>
      <c r="V107">
        <f ca="1">COUNTIF($U$17:U106,$C$8)</f>
        <v>30</v>
      </c>
      <c r="W107">
        <f ca="1">COUNTIF($U$17:U106,$C$9)</f>
        <v>60</v>
      </c>
      <c r="AC107">
        <f t="shared" ca="1" si="96"/>
        <v>-0.04</v>
      </c>
      <c r="AD107">
        <f ca="1">COUNTIF($AC$17:AC106,$D$8)</f>
        <v>28</v>
      </c>
      <c r="AE107">
        <f ca="1">COUNTIF($AC$17:AC106,$D$9)</f>
        <v>62</v>
      </c>
      <c r="AF107">
        <f t="shared" ca="1" si="97"/>
        <v>75217.747111265533</v>
      </c>
      <c r="AG107">
        <f t="shared" ca="1" si="100"/>
        <v>-3008.7098844506213</v>
      </c>
      <c r="AH107">
        <f t="shared" ca="1" si="99"/>
        <v>-0.04</v>
      </c>
      <c r="AI107">
        <f t="shared" ca="1" si="98"/>
        <v>72209.037226814908</v>
      </c>
      <c r="AJ107" s="60">
        <f ca="1">IF($M$14="non-compounding",SUM($AG$17:AG107)+$C$3,IFERROR(IF(AH107&gt;0,(AJ106*(1-$D$10)),(AJ106*(1-$D$11)))+AI107,""))</f>
        <v>185035.65789371319</v>
      </c>
    </row>
    <row r="108" spans="1:36" x14ac:dyDescent="0.25">
      <c r="A108" s="74"/>
      <c r="B108" s="76"/>
      <c r="C108" s="76"/>
      <c r="D108" s="76"/>
      <c r="E108" s="76"/>
      <c r="F108" s="74"/>
      <c r="G108" s="232">
        <f t="shared" si="85"/>
        <v>92</v>
      </c>
      <c r="H108" s="182">
        <f t="shared" ca="1" si="93"/>
        <v>110811.09825874231</v>
      </c>
      <c r="I108" s="183" t="str">
        <f t="shared" ca="1" si="86"/>
        <v>LOSS</v>
      </c>
      <c r="J108" s="184">
        <f t="shared" ca="1" si="87"/>
        <v>-4155.4161847028363</v>
      </c>
      <c r="K108" s="185">
        <f t="shared" ca="1" si="94"/>
        <v>-3.7499999999999999E-2</v>
      </c>
      <c r="L108" s="182">
        <f t="shared" ca="1" si="88"/>
        <v>106655.68207403948</v>
      </c>
      <c r="M108" s="182">
        <f ca="1">IF($M$14="non-compounding",SUM($J$17:J108)+$C$3,IFERROR(IF(I108="win",(M107*(1-$C$10)),(M107*(1-$C$11)))+L108,""))</f>
        <v>272872.32946215291</v>
      </c>
      <c r="N108" s="186">
        <f t="shared" ca="1" si="89"/>
        <v>1.728723294621529</v>
      </c>
      <c r="O108" s="74"/>
      <c r="Q108">
        <f t="shared" si="90"/>
        <v>92</v>
      </c>
      <c r="R108">
        <f t="shared" ca="1" si="91"/>
        <v>-3.7499999999999999E-2</v>
      </c>
      <c r="S108">
        <v>92</v>
      </c>
      <c r="T108">
        <f t="shared" ca="1" si="95"/>
        <v>0.15</v>
      </c>
      <c r="U108">
        <f t="shared" ca="1" si="92"/>
        <v>-3.7499999999999999E-2</v>
      </c>
      <c r="V108">
        <f ca="1">COUNTIF($U$17:U107,$C$8)</f>
        <v>30</v>
      </c>
      <c r="W108">
        <f ca="1">COUNTIF($U$17:U107,$C$9)</f>
        <v>61</v>
      </c>
      <c r="AC108">
        <f t="shared" ca="1" si="96"/>
        <v>0.15</v>
      </c>
      <c r="AD108">
        <f ca="1">COUNTIF($AC$17:AC107,$D$8)</f>
        <v>28</v>
      </c>
      <c r="AE108">
        <f ca="1">COUNTIF($AC$17:AC107,$D$9)</f>
        <v>63</v>
      </c>
      <c r="AF108">
        <f t="shared" ca="1" si="97"/>
        <v>74014.263157485271</v>
      </c>
      <c r="AG108">
        <f t="shared" ca="1" si="100"/>
        <v>11102.13947362279</v>
      </c>
      <c r="AH108">
        <f t="shared" ca="1" si="99"/>
        <v>0.15</v>
      </c>
      <c r="AI108">
        <f t="shared" ca="1" si="98"/>
        <v>85116.402631108067</v>
      </c>
      <c r="AJ108" s="60">
        <f ca="1">IF($M$14="non-compounding",SUM($AG$17:AG108)+$C$3,IFERROR(IF(AH108&gt;0,(AJ107*(1-$D$10)),(AJ107*(1-$D$11)))+AI108,""))</f>
        <v>196137.797367336</v>
      </c>
    </row>
    <row r="109" spans="1:36" x14ac:dyDescent="0.25">
      <c r="A109" s="74"/>
      <c r="B109" s="76"/>
      <c r="C109" s="76"/>
      <c r="D109" s="76"/>
      <c r="E109" s="76"/>
      <c r="F109" s="74"/>
      <c r="G109" s="232">
        <f t="shared" si="85"/>
        <v>93</v>
      </c>
      <c r="H109" s="182">
        <f t="shared" ca="1" si="93"/>
        <v>109148.93178486117</v>
      </c>
      <c r="I109" s="183" t="str">
        <f t="shared" ca="1" si="86"/>
        <v>LOSS</v>
      </c>
      <c r="J109" s="184">
        <f t="shared" ca="1" si="87"/>
        <v>-4093.0849419322935</v>
      </c>
      <c r="K109" s="185">
        <f t="shared" ca="1" si="94"/>
        <v>-3.7499999999999999E-2</v>
      </c>
      <c r="L109" s="182">
        <f t="shared" ca="1" si="88"/>
        <v>105055.84684292888</v>
      </c>
      <c r="M109" s="182">
        <f ca="1">IF($M$14="non-compounding",SUM($J$17:J109)+$C$3,IFERROR(IF(I109="win",(M108*(1-$C$10)),(M108*(1-$C$11)))+L109,""))</f>
        <v>268779.24452022061</v>
      </c>
      <c r="N109" s="186">
        <f t="shared" ca="1" si="89"/>
        <v>1.6877924452022062</v>
      </c>
      <c r="O109" s="74"/>
      <c r="Q109">
        <f t="shared" si="90"/>
        <v>93</v>
      </c>
      <c r="R109">
        <f t="shared" ca="1" si="91"/>
        <v>-3.7499999999999999E-2</v>
      </c>
      <c r="S109">
        <v>93</v>
      </c>
      <c r="T109">
        <f t="shared" ca="1" si="95"/>
        <v>-0.04</v>
      </c>
      <c r="U109">
        <f t="shared" ca="1" si="92"/>
        <v>-3.7499999999999999E-2</v>
      </c>
      <c r="V109">
        <f ca="1">COUNTIF($U$17:U108,$C$8)</f>
        <v>30</v>
      </c>
      <c r="W109">
        <f ca="1">COUNTIF($U$17:U108,$C$9)</f>
        <v>62</v>
      </c>
      <c r="AC109">
        <f t="shared" ca="1" si="96"/>
        <v>-0.04</v>
      </c>
      <c r="AD109">
        <f ca="1">COUNTIF($AC$17:AC108,$D$8)</f>
        <v>29</v>
      </c>
      <c r="AE109">
        <f ca="1">COUNTIF($AC$17:AC108,$D$9)</f>
        <v>63</v>
      </c>
      <c r="AF109">
        <f t="shared" ca="1" si="97"/>
        <v>78455.118946934395</v>
      </c>
      <c r="AG109">
        <f t="shared" ca="1" si="100"/>
        <v>-3138.2047578773759</v>
      </c>
      <c r="AH109">
        <f t="shared" ca="1" si="99"/>
        <v>-0.04</v>
      </c>
      <c r="AI109">
        <f t="shared" ca="1" si="98"/>
        <v>75316.914189057017</v>
      </c>
      <c r="AJ109" s="60">
        <f ca="1">IF($M$14="non-compounding",SUM($AG$17:AG109)+$C$3,IFERROR(IF(AH109&gt;0,(AJ108*(1-$D$10)),(AJ108*(1-$D$11)))+AI109,""))</f>
        <v>192999.5926094586</v>
      </c>
    </row>
    <row r="110" spans="1:36" x14ac:dyDescent="0.25">
      <c r="A110" s="74"/>
      <c r="B110" s="76"/>
      <c r="C110" s="76"/>
      <c r="D110" s="76"/>
      <c r="E110" s="76"/>
      <c r="F110" s="74"/>
      <c r="G110" s="232">
        <f t="shared" si="85"/>
        <v>94</v>
      </c>
      <c r="H110" s="182">
        <f t="shared" ca="1" si="93"/>
        <v>107511.69780808825</v>
      </c>
      <c r="I110" s="183" t="str">
        <f t="shared" ca="1" si="86"/>
        <v>LOSS</v>
      </c>
      <c r="J110" s="184">
        <f t="shared" ca="1" si="87"/>
        <v>-4031.6886678033093</v>
      </c>
      <c r="K110" s="185">
        <f t="shared" ca="1" si="94"/>
        <v>-3.7499999999999999E-2</v>
      </c>
      <c r="L110" s="182">
        <f t="shared" ca="1" si="88"/>
        <v>103480.00914028495</v>
      </c>
      <c r="M110" s="182">
        <f ca="1">IF($M$14="non-compounding",SUM($J$17:J110)+$C$3,IFERROR(IF(I110="win",(M109*(1-$C$10)),(M109*(1-$C$11)))+L110,""))</f>
        <v>264747.55585241731</v>
      </c>
      <c r="N110" s="186">
        <f t="shared" ca="1" si="89"/>
        <v>1.6474755585241732</v>
      </c>
      <c r="O110" s="74"/>
      <c r="Q110">
        <f t="shared" si="90"/>
        <v>94</v>
      </c>
      <c r="R110">
        <f t="shared" ca="1" si="91"/>
        <v>-3.7499999999999999E-2</v>
      </c>
      <c r="S110">
        <v>94</v>
      </c>
      <c r="T110">
        <f t="shared" ca="1" si="95"/>
        <v>-0.04</v>
      </c>
      <c r="U110">
        <f t="shared" ca="1" si="92"/>
        <v>-3.7499999999999999E-2</v>
      </c>
      <c r="V110">
        <f ca="1">COUNTIF($U$17:U109,$C$8)</f>
        <v>30</v>
      </c>
      <c r="W110">
        <f ca="1">COUNTIF($U$17:U109,$C$9)</f>
        <v>63</v>
      </c>
      <c r="AC110">
        <f t="shared" ca="1" si="96"/>
        <v>-0.04</v>
      </c>
      <c r="AD110">
        <f ca="1">COUNTIF($AC$17:AC109,$D$8)</f>
        <v>29</v>
      </c>
      <c r="AE110">
        <f ca="1">COUNTIF($AC$17:AC109,$D$9)</f>
        <v>64</v>
      </c>
      <c r="AF110">
        <f t="shared" ca="1" si="97"/>
        <v>77199.837043783438</v>
      </c>
      <c r="AG110">
        <f t="shared" ca="1" si="100"/>
        <v>-3087.9934817513376</v>
      </c>
      <c r="AH110">
        <f t="shared" ca="1" si="99"/>
        <v>-0.04</v>
      </c>
      <c r="AI110">
        <f t="shared" ca="1" si="98"/>
        <v>74111.843562032096</v>
      </c>
      <c r="AJ110" s="60">
        <f ca="1">IF($M$14="non-compounding",SUM($AG$17:AG110)+$C$3,IFERROR(IF(AH110&gt;0,(AJ109*(1-$D$10)),(AJ109*(1-$D$11)))+AI110,""))</f>
        <v>189911.59912770725</v>
      </c>
    </row>
    <row r="111" spans="1:36" x14ac:dyDescent="0.25">
      <c r="A111" s="74"/>
      <c r="B111" s="76"/>
      <c r="C111" s="76"/>
      <c r="D111" s="76"/>
      <c r="E111" s="76"/>
      <c r="F111" s="74"/>
      <c r="G111" s="232">
        <f t="shared" si="85"/>
        <v>95</v>
      </c>
      <c r="H111" s="182">
        <f t="shared" ca="1" si="93"/>
        <v>105899.02234096693</v>
      </c>
      <c r="I111" s="183" t="str">
        <f t="shared" ca="1" si="86"/>
        <v>LOSS</v>
      </c>
      <c r="J111" s="184">
        <f t="shared" ca="1" si="87"/>
        <v>-3971.2133377862597</v>
      </c>
      <c r="K111" s="185">
        <f t="shared" ca="1" si="94"/>
        <v>-3.7499999999999999E-2</v>
      </c>
      <c r="L111" s="182">
        <f t="shared" ca="1" si="88"/>
        <v>101927.80900318066</v>
      </c>
      <c r="M111" s="182">
        <f ca="1">IF($M$14="non-compounding",SUM($J$17:J111)+$C$3,IFERROR(IF(I111="win",(M110*(1-$C$10)),(M110*(1-$C$11)))+L111,""))</f>
        <v>260776.34251463105</v>
      </c>
      <c r="N111" s="186">
        <f t="shared" ca="1" si="89"/>
        <v>1.6077634251463104</v>
      </c>
      <c r="O111" s="74"/>
      <c r="Q111">
        <f t="shared" si="90"/>
        <v>95</v>
      </c>
      <c r="R111">
        <f t="shared" ca="1" si="91"/>
        <v>-3.7499999999999999E-2</v>
      </c>
      <c r="S111">
        <v>95</v>
      </c>
      <c r="T111">
        <f t="shared" ca="1" si="95"/>
        <v>-0.04</v>
      </c>
      <c r="U111">
        <f t="shared" ca="1" si="92"/>
        <v>-3.7499999999999999E-2</v>
      </c>
      <c r="V111">
        <f ca="1">COUNTIF($U$17:U110,$C$8)</f>
        <v>30</v>
      </c>
      <c r="W111">
        <f ca="1">COUNTIF($U$17:U110,$C$9)</f>
        <v>64</v>
      </c>
      <c r="AC111">
        <f t="shared" ca="1" si="96"/>
        <v>-0.04</v>
      </c>
      <c r="AD111">
        <f ca="1">COUNTIF($AC$17:AC110,$D$8)</f>
        <v>29</v>
      </c>
      <c r="AE111">
        <f ca="1">COUNTIF($AC$17:AC110,$D$9)</f>
        <v>65</v>
      </c>
      <c r="AF111">
        <f t="shared" ca="1" si="97"/>
        <v>75964.639651082907</v>
      </c>
      <c r="AG111">
        <f t="shared" ca="1" si="100"/>
        <v>-3038.5855860433162</v>
      </c>
      <c r="AH111">
        <f t="shared" ca="1" si="99"/>
        <v>-0.04</v>
      </c>
      <c r="AI111">
        <f t="shared" ca="1" si="98"/>
        <v>72926.054065039585</v>
      </c>
      <c r="AJ111" s="60">
        <f ca="1">IF($M$14="non-compounding",SUM($AG$17:AG111)+$C$3,IFERROR(IF(AH111&gt;0,(AJ110*(1-$D$10)),(AJ110*(1-$D$11)))+AI111,""))</f>
        <v>186873.01354166394</v>
      </c>
    </row>
    <row r="112" spans="1:36" x14ac:dyDescent="0.25">
      <c r="A112" s="74"/>
      <c r="B112" s="76"/>
      <c r="C112" s="76"/>
      <c r="D112" s="76"/>
      <c r="E112" s="76"/>
      <c r="F112" s="74"/>
      <c r="G112" s="232">
        <f t="shared" si="85"/>
        <v>96</v>
      </c>
      <c r="H112" s="182">
        <f t="shared" ca="1" si="93"/>
        <v>104310.53700585243</v>
      </c>
      <c r="I112" s="183" t="str">
        <f t="shared" ca="1" si="86"/>
        <v>LOSS</v>
      </c>
      <c r="J112" s="184">
        <f t="shared" ca="1" si="87"/>
        <v>-3911.6451377194658</v>
      </c>
      <c r="K112" s="185">
        <f t="shared" ca="1" si="94"/>
        <v>-3.7499999999999999E-2</v>
      </c>
      <c r="L112" s="182">
        <f t="shared" ca="1" si="88"/>
        <v>100398.89186813297</v>
      </c>
      <c r="M112" s="182">
        <f ca="1">IF($M$14="non-compounding",SUM($J$17:J112)+$C$3,IFERROR(IF(I112="win",(M111*(1-$C$10)),(M111*(1-$C$11)))+L112,""))</f>
        <v>256864.69737691159</v>
      </c>
      <c r="N112" s="186">
        <f t="shared" ca="1" si="89"/>
        <v>1.5686469737691158</v>
      </c>
      <c r="O112" s="74"/>
      <c r="Q112">
        <f t="shared" si="90"/>
        <v>96</v>
      </c>
      <c r="R112">
        <f t="shared" ca="1" si="91"/>
        <v>-3.7499999999999999E-2</v>
      </c>
      <c r="S112">
        <v>96</v>
      </c>
      <c r="T112">
        <f t="shared" ca="1" si="95"/>
        <v>-0.04</v>
      </c>
      <c r="U112">
        <f t="shared" ca="1" si="92"/>
        <v>0.12</v>
      </c>
      <c r="V112">
        <f ca="1">COUNTIF($U$17:U111,$C$8)</f>
        <v>30</v>
      </c>
      <c r="W112">
        <f ca="1">COUNTIF($U$17:U111,$C$9)</f>
        <v>65</v>
      </c>
      <c r="AC112">
        <f t="shared" ca="1" si="96"/>
        <v>-0.04</v>
      </c>
      <c r="AD112">
        <f ca="1">COUNTIF($AC$17:AC111,$D$8)</f>
        <v>29</v>
      </c>
      <c r="AE112">
        <f ca="1">COUNTIF($AC$17:AC111,$D$9)</f>
        <v>66</v>
      </c>
      <c r="AF112">
        <f t="shared" ca="1" si="97"/>
        <v>74749.205416665573</v>
      </c>
      <c r="AG112">
        <f t="shared" ca="1" si="100"/>
        <v>-2989.968216666623</v>
      </c>
      <c r="AH112">
        <f t="shared" ca="1" si="99"/>
        <v>-0.04</v>
      </c>
      <c r="AI112">
        <f t="shared" ca="1" si="98"/>
        <v>71759.237199998955</v>
      </c>
      <c r="AJ112" s="60">
        <f ca="1">IF($M$14="non-compounding",SUM($AG$17:AG112)+$C$3,IFERROR(IF(AH112&gt;0,(AJ111*(1-$D$10)),(AJ111*(1-$D$11)))+AI112,""))</f>
        <v>183883.04532499734</v>
      </c>
    </row>
    <row r="113" spans="1:36" x14ac:dyDescent="0.25">
      <c r="A113" s="74"/>
      <c r="B113" s="76"/>
      <c r="C113" s="76"/>
      <c r="D113" s="76"/>
      <c r="E113" s="76"/>
      <c r="F113" s="74"/>
      <c r="G113" s="232">
        <f t="shared" si="85"/>
        <v>97</v>
      </c>
      <c r="H113" s="182">
        <f t="shared" ca="1" si="93"/>
        <v>102745.87895076464</v>
      </c>
      <c r="I113" s="183" t="str">
        <f t="shared" ca="1" si="86"/>
        <v>LOSS</v>
      </c>
      <c r="J113" s="184">
        <f t="shared" ref="J113:J116" ca="1" si="101">IFERROR(H113*K113,"")</f>
        <v>-3852.9704606536739</v>
      </c>
      <c r="K113" s="185">
        <f t="shared" ca="1" si="94"/>
        <v>-3.7499999999999999E-2</v>
      </c>
      <c r="L113" s="182">
        <f t="shared" ca="1" si="88"/>
        <v>98892.908490110975</v>
      </c>
      <c r="M113" s="182">
        <f ca="1">IF($M$14="non-compounding",SUM($J$17:J113)+$C$3,IFERROR(IF(I113="win",(M112*(1-$C$10)),(M112*(1-$C$11)))+L113,""))</f>
        <v>253011.72691625793</v>
      </c>
      <c r="N113" s="186">
        <f t="shared" ref="N113:N116" ca="1" si="102">IFERROR((M113-$C$3)/$C$3,"")</f>
        <v>1.5301172691625793</v>
      </c>
      <c r="O113" s="74"/>
      <c r="Q113">
        <f t="shared" si="90"/>
        <v>97</v>
      </c>
      <c r="R113">
        <f t="shared" ca="1" si="91"/>
        <v>-3.7499999999999999E-2</v>
      </c>
      <c r="S113">
        <v>97</v>
      </c>
      <c r="T113">
        <f t="shared" ca="1" si="95"/>
        <v>-0.04</v>
      </c>
      <c r="U113">
        <f t="shared" ca="1" si="92"/>
        <v>-3.7499999999999999E-2</v>
      </c>
      <c r="V113">
        <f ca="1">COUNTIF($U$17:U112,$C$8)</f>
        <v>31</v>
      </c>
      <c r="W113">
        <f ca="1">COUNTIF($U$17:U112,$C$9)</f>
        <v>65</v>
      </c>
      <c r="AC113">
        <f t="shared" ca="1" si="96"/>
        <v>-0.04</v>
      </c>
      <c r="AD113">
        <f ca="1">COUNTIF($AC$17:AC112,$D$8)</f>
        <v>29</v>
      </c>
      <c r="AE113">
        <f ca="1">COUNTIF($AC$17:AC112,$D$9)</f>
        <v>67</v>
      </c>
      <c r="AF113">
        <f t="shared" ca="1" si="97"/>
        <v>73553.218129998932</v>
      </c>
      <c r="AG113">
        <f t="shared" ca="1" si="100"/>
        <v>-2942.1287251999574</v>
      </c>
      <c r="AH113">
        <f t="shared" ca="1" si="99"/>
        <v>-0.04</v>
      </c>
      <c r="AI113">
        <f t="shared" ca="1" si="98"/>
        <v>70611.089404798971</v>
      </c>
      <c r="AJ113" s="60">
        <f ca="1">IF($M$14="non-compounding",SUM($AG$17:AG113)+$C$3,IFERROR(IF(AH113&gt;0,(AJ112*(1-$D$10)),(AJ112*(1-$D$11)))+AI113,""))</f>
        <v>180940.91659979738</v>
      </c>
    </row>
    <row r="114" spans="1:36" x14ac:dyDescent="0.25">
      <c r="A114" s="74"/>
      <c r="B114" s="76"/>
      <c r="C114" s="76"/>
      <c r="D114" s="76"/>
      <c r="E114" s="76"/>
      <c r="F114" s="74"/>
      <c r="G114" s="232">
        <f t="shared" si="85"/>
        <v>98</v>
      </c>
      <c r="H114" s="182">
        <f t="shared" ref="H114:H116" ca="1" si="103">IFERROR(IF($M$14="non-compounding",IF(I114="loss",($C$3*$C$11),($C$3*$C$10)),IF(G114="","",IF(I114="win",$C$10*M113,$C$11*M113))),"")</f>
        <v>101204.69076650318</v>
      </c>
      <c r="I114" s="183" t="str">
        <f t="shared" ca="1" si="86"/>
        <v>LOSS</v>
      </c>
      <c r="J114" s="184">
        <f t="shared" ca="1" si="101"/>
        <v>-3795.1759037438687</v>
      </c>
      <c r="K114" s="185">
        <f t="shared" ca="1" si="94"/>
        <v>-3.7499999999999999E-2</v>
      </c>
      <c r="L114" s="182">
        <f t="shared" ca="1" si="88"/>
        <v>97409.514862759301</v>
      </c>
      <c r="M114" s="182">
        <f ca="1">IF($M$14="non-compounding",SUM($J$17:J114)+$C$3,IFERROR(IF(I114="win",(M113*(1-$C$10)),(M113*(1-$C$11)))+L114,""))</f>
        <v>249216.55101251404</v>
      </c>
      <c r="N114" s="186">
        <f t="shared" ca="1" si="102"/>
        <v>1.4921655101251405</v>
      </c>
      <c r="O114" s="74"/>
      <c r="Q114">
        <f t="shared" si="90"/>
        <v>98</v>
      </c>
      <c r="R114">
        <f t="shared" ca="1" si="91"/>
        <v>-3.7499999999999999E-2</v>
      </c>
      <c r="S114">
        <v>98</v>
      </c>
      <c r="T114">
        <f t="shared" ca="1" si="95"/>
        <v>-0.04</v>
      </c>
      <c r="U114">
        <f t="shared" ca="1" si="92"/>
        <v>-3.7499999999999999E-2</v>
      </c>
      <c r="V114">
        <f ca="1">COUNTIF($U$17:U113,$C$8)</f>
        <v>31</v>
      </c>
      <c r="W114">
        <f ca="1">COUNTIF($U$17:U113,$C$9)</f>
        <v>66</v>
      </c>
      <c r="AC114">
        <f t="shared" ca="1" si="96"/>
        <v>-0.04</v>
      </c>
      <c r="AD114">
        <f ca="1">COUNTIF($AC$17:AC113,$D$8)</f>
        <v>29</v>
      </c>
      <c r="AE114">
        <f ca="1">COUNTIF($AC$17:AC113,$D$9)</f>
        <v>68</v>
      </c>
      <c r="AF114">
        <f t="shared" ca="1" si="97"/>
        <v>72376.366639918953</v>
      </c>
      <c r="AG114">
        <f t="shared" ca="1" si="100"/>
        <v>-2895.0546655967582</v>
      </c>
      <c r="AH114">
        <f t="shared" ca="1" si="99"/>
        <v>-0.04</v>
      </c>
      <c r="AI114">
        <f t="shared" ca="1" si="98"/>
        <v>69481.311974322191</v>
      </c>
      <c r="AJ114" s="60">
        <f ca="1">IF($M$14="non-compounding",SUM($AG$17:AG114)+$C$3,IFERROR(IF(AH114&gt;0,(AJ113*(1-$D$10)),(AJ113*(1-$D$11)))+AI114,""))</f>
        <v>178045.86193420063</v>
      </c>
    </row>
    <row r="115" spans="1:36" x14ac:dyDescent="0.25">
      <c r="A115" s="74"/>
      <c r="B115" s="76"/>
      <c r="C115" s="76"/>
      <c r="D115" s="76"/>
      <c r="E115" s="76"/>
      <c r="F115" s="74"/>
      <c r="G115" s="232">
        <f t="shared" si="85"/>
        <v>99</v>
      </c>
      <c r="H115" s="182">
        <f t="shared" ca="1" si="103"/>
        <v>99686.620405005626</v>
      </c>
      <c r="I115" s="183" t="str">
        <f t="shared" ca="1" si="86"/>
        <v>LOSS</v>
      </c>
      <c r="J115" s="184">
        <f t="shared" ca="1" si="101"/>
        <v>-3738.2482651877108</v>
      </c>
      <c r="K115" s="185">
        <f t="shared" ca="1" si="94"/>
        <v>-3.7499999999999999E-2</v>
      </c>
      <c r="L115" s="182">
        <f t="shared" ca="1" si="88"/>
        <v>95948.372139817919</v>
      </c>
      <c r="M115" s="182">
        <f ca="1">IF($M$14="non-compounding",SUM($J$17:J115)+$C$3,IFERROR(IF(I115="win",(M114*(1-$C$10)),(M114*(1-$C$11)))+L115,""))</f>
        <v>245478.30274732635</v>
      </c>
      <c r="N115" s="186">
        <f t="shared" ca="1" si="102"/>
        <v>1.4547830274732636</v>
      </c>
      <c r="O115" s="74"/>
      <c r="Q115">
        <f t="shared" si="90"/>
        <v>99</v>
      </c>
      <c r="R115">
        <f t="shared" ca="1" si="91"/>
        <v>-3.7499999999999999E-2</v>
      </c>
      <c r="S115">
        <v>99</v>
      </c>
      <c r="T115">
        <f t="shared" ca="1" si="95"/>
        <v>-0.04</v>
      </c>
      <c r="U115">
        <f t="shared" ca="1" si="92"/>
        <v>0.12</v>
      </c>
      <c r="V115">
        <f ca="1">COUNTIF($U$17:U114,$C$8)</f>
        <v>31</v>
      </c>
      <c r="W115">
        <f ca="1">COUNTIF($U$17:U114,$C$9)</f>
        <v>67</v>
      </c>
      <c r="AC115">
        <f t="shared" ca="1" si="96"/>
        <v>-0.04</v>
      </c>
      <c r="AD115">
        <f ca="1">COUNTIF($AC$17:AC114,$D$8)</f>
        <v>29</v>
      </c>
      <c r="AE115">
        <f ca="1">COUNTIF($AC$17:AC114,$D$9)</f>
        <v>69</v>
      </c>
      <c r="AF115">
        <f t="shared" ca="1" si="97"/>
        <v>71218.344773680248</v>
      </c>
      <c r="AG115">
        <f t="shared" ca="1" si="100"/>
        <v>-2848.7337909472099</v>
      </c>
      <c r="AH115">
        <f t="shared" ca="1" si="99"/>
        <v>-0.04</v>
      </c>
      <c r="AI115">
        <f t="shared" ca="1" si="98"/>
        <v>68369.610982733037</v>
      </c>
      <c r="AJ115" s="60">
        <f ca="1">IF($M$14="non-compounding",SUM($AG$17:AG115)+$C$3,IFERROR(IF(AH115&gt;0,(AJ114*(1-$D$10)),(AJ114*(1-$D$11)))+AI115,""))</f>
        <v>175197.12814325342</v>
      </c>
    </row>
    <row r="116" spans="1:36" x14ac:dyDescent="0.25">
      <c r="A116" s="74"/>
      <c r="B116" s="76"/>
      <c r="C116" s="76"/>
      <c r="D116" s="76"/>
      <c r="E116" s="76"/>
      <c r="F116" s="74"/>
      <c r="G116" s="232">
        <f t="shared" si="85"/>
        <v>100</v>
      </c>
      <c r="H116" s="182">
        <f t="shared" ca="1" si="103"/>
        <v>98191.321098930552</v>
      </c>
      <c r="I116" s="183" t="str">
        <f t="shared" ca="1" si="86"/>
        <v>LOSS</v>
      </c>
      <c r="J116" s="188">
        <f t="shared" ca="1" si="101"/>
        <v>-3682.1745412098958</v>
      </c>
      <c r="K116" s="189">
        <f t="shared" ca="1" si="94"/>
        <v>-3.7499999999999999E-2</v>
      </c>
      <c r="L116" s="187">
        <f t="shared" ca="1" si="88"/>
        <v>94509.146557720655</v>
      </c>
      <c r="M116" s="182">
        <f ca="1">IF($M$14="non-compounding",SUM($J$17:J116)+$C$3,IFERROR(IF(I116="win",(M115*(1-$C$10)),(M115*(1-$C$11)))+L116,""))</f>
        <v>241796.12820611644</v>
      </c>
      <c r="N116" s="190">
        <f t="shared" ca="1" si="102"/>
        <v>1.4179612820611645</v>
      </c>
      <c r="O116" s="74"/>
      <c r="Q116">
        <f t="shared" si="90"/>
        <v>100</v>
      </c>
      <c r="R116">
        <f t="shared" ca="1" si="91"/>
        <v>-3.7499999999999999E-2</v>
      </c>
      <c r="S116">
        <v>100</v>
      </c>
      <c r="T116">
        <f t="shared" ca="1" si="95"/>
        <v>0.15</v>
      </c>
      <c r="U116">
        <f t="shared" ca="1" si="92"/>
        <v>-3.7499999999999999E-2</v>
      </c>
      <c r="V116">
        <f ca="1">COUNTIF($U$17:U115,$C$8)</f>
        <v>32</v>
      </c>
      <c r="W116">
        <f ca="1">COUNTIF($U$17:U115,$C$9)</f>
        <v>67</v>
      </c>
      <c r="AC116">
        <f t="shared" ca="1" si="96"/>
        <v>-0.04</v>
      </c>
      <c r="AD116">
        <f ca="1">COUNTIF($AC$17:AC115,$D$8)</f>
        <v>29</v>
      </c>
      <c r="AE116">
        <f ca="1">COUNTIF($AC$17:AC115,$D$9)</f>
        <v>70</v>
      </c>
      <c r="AF116">
        <f t="shared" ca="1" si="97"/>
        <v>70078.851257301372</v>
      </c>
      <c r="AG116">
        <f t="shared" ca="1" si="100"/>
        <v>10511.827688595205</v>
      </c>
      <c r="AH116">
        <f t="shared" ca="1" si="99"/>
        <v>0.15</v>
      </c>
      <c r="AI116">
        <f t="shared" ca="1" si="98"/>
        <v>80590.67894589658</v>
      </c>
      <c r="AJ116" s="60">
        <f ca="1">IF($M$14="non-compounding",SUM($AG$17:AG116)+$C$3,IFERROR(IF(AH116&gt;0,(AJ115*(1-$D$10)),(AJ115*(1-$D$11)))+AI116,""))</f>
        <v>185708.95583184861</v>
      </c>
    </row>
    <row r="117" spans="1:36" x14ac:dyDescent="0.25">
      <c r="K117" s="16"/>
    </row>
    <row r="118" spans="1:36" x14ac:dyDescent="0.25">
      <c r="K118" s="16"/>
    </row>
    <row r="126" spans="1:36" x14ac:dyDescent="0.25">
      <c r="L126" s="17"/>
      <c r="M126" s="17"/>
      <c r="N126" s="17"/>
    </row>
    <row r="127" spans="1:36" x14ac:dyDescent="0.25">
      <c r="L127" s="17"/>
      <c r="M127" s="17"/>
      <c r="N127" s="17"/>
    </row>
    <row r="128" spans="1:36" x14ac:dyDescent="0.25">
      <c r="L128" s="17"/>
      <c r="M128" s="17"/>
      <c r="N128" s="17"/>
    </row>
    <row r="129" spans="12:14" x14ac:dyDescent="0.25">
      <c r="L129" s="17"/>
      <c r="M129" s="17"/>
      <c r="N129" s="17"/>
    </row>
    <row r="130" spans="12:14" x14ac:dyDescent="0.25">
      <c r="L130" s="17"/>
      <c r="M130" s="17"/>
      <c r="N130" s="17"/>
    </row>
    <row r="131" spans="12:14" x14ac:dyDescent="0.25">
      <c r="L131" s="17"/>
      <c r="M131" s="17"/>
      <c r="N131" s="17"/>
    </row>
    <row r="132" spans="12:14" x14ac:dyDescent="0.25">
      <c r="L132" s="17"/>
      <c r="M132" s="17"/>
      <c r="N132" s="17"/>
    </row>
    <row r="133" spans="12:14" x14ac:dyDescent="0.25">
      <c r="L133" s="17"/>
      <c r="M133" s="17"/>
      <c r="N133" s="17"/>
    </row>
    <row r="134" spans="12:14" x14ac:dyDescent="0.25">
      <c r="L134" s="17"/>
      <c r="M134" s="17"/>
      <c r="N134" s="17"/>
    </row>
    <row r="135" spans="12:14" x14ac:dyDescent="0.25">
      <c r="L135" s="17"/>
      <c r="M135" s="17"/>
      <c r="N135" s="17"/>
    </row>
    <row r="136" spans="12:14" x14ac:dyDescent="0.25">
      <c r="L136" s="17"/>
      <c r="M136" s="17"/>
      <c r="N136" s="17"/>
    </row>
    <row r="137" spans="12:14" x14ac:dyDescent="0.25">
      <c r="L137" s="17"/>
      <c r="M137" s="17"/>
      <c r="N137" s="17"/>
    </row>
    <row r="138" spans="12:14" x14ac:dyDescent="0.25">
      <c r="L138" s="17"/>
      <c r="M138" s="17"/>
      <c r="N138" s="17"/>
    </row>
    <row r="139" spans="12:14" x14ac:dyDescent="0.25">
      <c r="L139" s="17"/>
      <c r="M139" s="17"/>
      <c r="N139" s="17"/>
    </row>
    <row r="140" spans="12:14" x14ac:dyDescent="0.25">
      <c r="L140" s="17"/>
      <c r="M140" s="17"/>
      <c r="N140" s="17"/>
    </row>
    <row r="141" spans="12:14" x14ac:dyDescent="0.25">
      <c r="L141" s="17"/>
      <c r="M141" s="17"/>
      <c r="N141" s="17"/>
    </row>
    <row r="142" spans="12:14" x14ac:dyDescent="0.25">
      <c r="L142" s="17"/>
      <c r="M142" s="17"/>
      <c r="N142" s="17"/>
    </row>
    <row r="143" spans="12:14" x14ac:dyDescent="0.25">
      <c r="L143" s="17"/>
      <c r="M143" s="17"/>
      <c r="N143" s="17"/>
    </row>
    <row r="144" spans="12:14" x14ac:dyDescent="0.25">
      <c r="L144" s="17"/>
      <c r="M144" s="17"/>
      <c r="N144" s="17"/>
    </row>
    <row r="145" spans="12:14" x14ac:dyDescent="0.25">
      <c r="L145" s="17"/>
      <c r="M145" s="17"/>
      <c r="N145" s="17"/>
    </row>
    <row r="146" spans="12:14" x14ac:dyDescent="0.25">
      <c r="L146" s="17"/>
      <c r="M146" s="17"/>
      <c r="N146" s="17"/>
    </row>
    <row r="147" spans="12:14" x14ac:dyDescent="0.25">
      <c r="L147" s="17"/>
      <c r="M147" s="17"/>
      <c r="N147" s="17"/>
    </row>
    <row r="148" spans="12:14" x14ac:dyDescent="0.25">
      <c r="L148" s="17"/>
      <c r="M148" s="17"/>
      <c r="N148" s="17"/>
    </row>
    <row r="149" spans="12:14" x14ac:dyDescent="0.25">
      <c r="L149" s="17"/>
      <c r="M149" s="17"/>
      <c r="N149" s="17"/>
    </row>
    <row r="150" spans="12:14" x14ac:dyDescent="0.25">
      <c r="L150" s="17"/>
      <c r="M150" s="17"/>
      <c r="N150" s="17"/>
    </row>
    <row r="151" spans="12:14" x14ac:dyDescent="0.25">
      <c r="L151" s="17"/>
      <c r="M151" s="17"/>
      <c r="N151" s="17"/>
    </row>
    <row r="152" spans="12:14" x14ac:dyDescent="0.25">
      <c r="L152" s="17"/>
      <c r="M152" s="17"/>
      <c r="N152" s="17"/>
    </row>
    <row r="153" spans="12:14" x14ac:dyDescent="0.25">
      <c r="L153" s="17"/>
      <c r="M153" s="17"/>
      <c r="N153" s="17"/>
    </row>
    <row r="154" spans="12:14" x14ac:dyDescent="0.25">
      <c r="L154" s="17"/>
      <c r="M154" s="17"/>
      <c r="N154" s="17"/>
    </row>
    <row r="155" spans="12:14" x14ac:dyDescent="0.25">
      <c r="L155" s="17"/>
      <c r="M155" s="17"/>
      <c r="N155" s="17"/>
    </row>
    <row r="156" spans="12:14" x14ac:dyDescent="0.25">
      <c r="L156" s="17"/>
      <c r="M156" s="17"/>
      <c r="N156" s="17"/>
    </row>
    <row r="157" spans="12:14" x14ac:dyDescent="0.25">
      <c r="L157" s="17"/>
      <c r="M157" s="17"/>
      <c r="N157" s="17"/>
    </row>
    <row r="158" spans="12:14" x14ac:dyDescent="0.25">
      <c r="L158" s="17"/>
      <c r="M158" s="17"/>
      <c r="N158" s="17"/>
    </row>
    <row r="159" spans="12:14" x14ac:dyDescent="0.25">
      <c r="L159" s="17"/>
      <c r="M159" s="17"/>
      <c r="N159" s="17"/>
    </row>
    <row r="160" spans="12:14" x14ac:dyDescent="0.25">
      <c r="L160" s="17"/>
      <c r="M160" s="17"/>
      <c r="N160" s="17"/>
    </row>
    <row r="161" spans="10:14" x14ac:dyDescent="0.25">
      <c r="L161" s="17"/>
      <c r="M161" s="17"/>
      <c r="N161" s="17"/>
    </row>
    <row r="162" spans="10:14" x14ac:dyDescent="0.25">
      <c r="L162" s="17"/>
      <c r="M162" s="17"/>
      <c r="N162" s="17"/>
    </row>
    <row r="163" spans="10:14" x14ac:dyDescent="0.25">
      <c r="L163" s="17"/>
      <c r="M163" s="17"/>
      <c r="N163" s="17"/>
    </row>
    <row r="164" spans="10:14" x14ac:dyDescent="0.25">
      <c r="L164" s="17"/>
      <c r="M164" s="17"/>
      <c r="N164" s="17"/>
    </row>
    <row r="165" spans="10:14" x14ac:dyDescent="0.25">
      <c r="L165" s="17"/>
      <c r="M165" s="17"/>
      <c r="N165" s="17"/>
    </row>
    <row r="166" spans="10:14" x14ac:dyDescent="0.25">
      <c r="L166" s="17"/>
      <c r="M166" s="17"/>
      <c r="N166" s="17"/>
    </row>
    <row r="167" spans="10:14" x14ac:dyDescent="0.25">
      <c r="L167" s="17"/>
      <c r="M167" s="17"/>
      <c r="N167" s="17"/>
    </row>
    <row r="168" spans="10:14" x14ac:dyDescent="0.25">
      <c r="L168" s="17"/>
      <c r="M168" s="17"/>
      <c r="N168" s="17"/>
    </row>
    <row r="169" spans="10:14" x14ac:dyDescent="0.25">
      <c r="L169" s="17"/>
      <c r="M169" s="17"/>
      <c r="N169" s="17"/>
    </row>
    <row r="170" spans="10:14" x14ac:dyDescent="0.25">
      <c r="L170" s="17"/>
      <c r="M170" s="17"/>
      <c r="N170" s="17"/>
    </row>
    <row r="171" spans="10:14" x14ac:dyDescent="0.25">
      <c r="L171" s="17"/>
      <c r="M171" s="17"/>
      <c r="N171" s="17"/>
    </row>
    <row r="172" spans="10:14" x14ac:dyDescent="0.25">
      <c r="L172" s="17"/>
      <c r="M172" s="17"/>
      <c r="N172" s="17"/>
    </row>
    <row r="173" spans="10:14" x14ac:dyDescent="0.25">
      <c r="L173" s="17"/>
      <c r="M173" s="17"/>
      <c r="N173" s="17"/>
    </row>
    <row r="174" spans="10:14" x14ac:dyDescent="0.25">
      <c r="L174" s="17"/>
      <c r="M174" s="17"/>
      <c r="N174" s="17"/>
    </row>
    <row r="175" spans="10:14" x14ac:dyDescent="0.25">
      <c r="L175" s="17"/>
      <c r="M175" s="17"/>
      <c r="N175" s="17"/>
    </row>
    <row r="176" spans="10:14" x14ac:dyDescent="0.25">
      <c r="J176" s="18"/>
      <c r="L176" s="17"/>
      <c r="M176" s="17"/>
      <c r="N176" s="17"/>
    </row>
    <row r="177" spans="10:14" x14ac:dyDescent="0.25">
      <c r="J177" s="18"/>
      <c r="L177" s="17"/>
      <c r="M177" s="17"/>
      <c r="N177" s="17"/>
    </row>
    <row r="178" spans="10:14" x14ac:dyDescent="0.25">
      <c r="J178" s="18"/>
      <c r="L178" s="17"/>
      <c r="M178" s="17"/>
      <c r="N178" s="17"/>
    </row>
    <row r="179" spans="10:14" x14ac:dyDescent="0.25">
      <c r="J179" s="18"/>
      <c r="L179" s="17"/>
      <c r="M179" s="17"/>
      <c r="N179" s="17"/>
    </row>
    <row r="180" spans="10:14" x14ac:dyDescent="0.25">
      <c r="J180" s="18"/>
      <c r="L180" s="17"/>
      <c r="M180" s="17"/>
      <c r="N180" s="17"/>
    </row>
    <row r="181" spans="10:14" x14ac:dyDescent="0.25">
      <c r="J181" s="18"/>
      <c r="L181" s="17"/>
      <c r="M181" s="17"/>
      <c r="N181" s="17"/>
    </row>
    <row r="182" spans="10:14" x14ac:dyDescent="0.25">
      <c r="J182" s="18"/>
      <c r="L182" s="17"/>
      <c r="M182" s="17"/>
      <c r="N182" s="17"/>
    </row>
    <row r="183" spans="10:14" x14ac:dyDescent="0.25">
      <c r="J183" s="18"/>
      <c r="L183" s="17"/>
      <c r="M183" s="17"/>
      <c r="N183" s="17"/>
    </row>
    <row r="184" spans="10:14" x14ac:dyDescent="0.25">
      <c r="J184" s="18"/>
      <c r="L184" s="17"/>
      <c r="M184" s="17"/>
      <c r="N184" s="17"/>
    </row>
    <row r="185" spans="10:14" x14ac:dyDescent="0.25">
      <c r="J185" s="18"/>
      <c r="L185" s="17"/>
      <c r="M185" s="17"/>
      <c r="N185" s="17"/>
    </row>
    <row r="186" spans="10:14" x14ac:dyDescent="0.25">
      <c r="J186" s="18"/>
      <c r="L186" s="17"/>
      <c r="M186" s="17"/>
      <c r="N186" s="17"/>
    </row>
    <row r="187" spans="10:14" x14ac:dyDescent="0.25">
      <c r="J187" s="18"/>
      <c r="L187" s="17"/>
      <c r="M187" s="17"/>
      <c r="N187" s="17"/>
    </row>
  </sheetData>
  <sheetProtection password="DF8E" sheet="1" objects="1" scenarios="1"/>
  <protectedRanges>
    <protectedRange sqref="C3:D4 C6:C11 B15:C15" name="Range1"/>
  </protectedRanges>
  <mergeCells count="28">
    <mergeCell ref="K2:N2"/>
    <mergeCell ref="M14:N14"/>
    <mergeCell ref="B21:B22"/>
    <mergeCell ref="C2:D2"/>
    <mergeCell ref="C3:D3"/>
    <mergeCell ref="C4:D4"/>
    <mergeCell ref="G2:H2"/>
    <mergeCell ref="G3:H3"/>
    <mergeCell ref="G4:H4"/>
    <mergeCell ref="G11:H11"/>
    <mergeCell ref="G12:H12"/>
    <mergeCell ref="I2:J2"/>
    <mergeCell ref="I3:J3"/>
    <mergeCell ref="I4:J4"/>
    <mergeCell ref="I10:J10"/>
    <mergeCell ref="I11:J11"/>
    <mergeCell ref="I12:J12"/>
    <mergeCell ref="G5:H5"/>
    <mergeCell ref="G6:H6"/>
    <mergeCell ref="G7:H7"/>
    <mergeCell ref="I5:J5"/>
    <mergeCell ref="I6:J6"/>
    <mergeCell ref="I7:J7"/>
    <mergeCell ref="I8:J8"/>
    <mergeCell ref="I9:J9"/>
    <mergeCell ref="G8:H8"/>
    <mergeCell ref="G9:H9"/>
    <mergeCell ref="G10:H10"/>
  </mergeCells>
  <conditionalFormatting sqref="K17:K116">
    <cfRule type="cellIs" dxfId="30" priority="14" operator="greaterThan">
      <formula>0</formula>
    </cfRule>
  </conditionalFormatting>
  <conditionalFormatting sqref="I17:I116">
    <cfRule type="expression" dxfId="29" priority="7">
      <formula>I17=""</formula>
    </cfRule>
    <cfRule type="containsText" dxfId="28" priority="13" operator="containsText" text="win">
      <formula>NOT(ISERROR(SEARCH("win",I17)))</formula>
    </cfRule>
  </conditionalFormatting>
  <conditionalFormatting sqref="G10:G12">
    <cfRule type="cellIs" dxfId="27" priority="12" operator="greaterThan">
      <formula>0</formula>
    </cfRule>
  </conditionalFormatting>
  <conditionalFormatting sqref="G17:G116">
    <cfRule type="cellIs" dxfId="26" priority="9" operator="greaterThan">
      <formula>0</formula>
    </cfRule>
  </conditionalFormatting>
  <conditionalFormatting sqref="J17:J116">
    <cfRule type="cellIs" dxfId="25" priority="8" operator="greaterThan">
      <formula>0</formula>
    </cfRule>
  </conditionalFormatting>
  <conditionalFormatting sqref="B21">
    <cfRule type="cellIs" dxfId="24" priority="4" operator="lessThan">
      <formula>0</formula>
    </cfRule>
  </conditionalFormatting>
  <conditionalFormatting sqref="I10:I12">
    <cfRule type="cellIs" dxfId="23" priority="2" operator="greaterThan">
      <formula>0</formula>
    </cfRule>
  </conditionalFormatting>
  <conditionalFormatting sqref="G17:G45 E17:E45">
    <cfRule type="cellIs" dxfId="22" priority="390" operator="equal">
      <formula>$B$21</formula>
    </cfRule>
  </conditionalFormatting>
  <dataValidations count="1">
    <dataValidation type="custom" errorStyle="information" allowBlank="1" showInputMessage="1" showErrorMessage="1" error="Enter 10 to 100 Value" sqref="C4" xr:uid="{00000000-0002-0000-0400-000000000000}">
      <formula1>C4&lt;=100</formula1>
    </dataValidation>
  </dataValidation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DE2D26"/>
  </sheetPr>
  <dimension ref="A1:AY48"/>
  <sheetViews>
    <sheetView showGridLines="0" showRowColHeaders="0" zoomScaleNormal="100" workbookViewId="0">
      <pane ySplit="1" topLeftCell="A2" activePane="bottomLeft" state="frozen"/>
      <selection pane="bottomLeft" activeCell="J19" sqref="J19"/>
    </sheetView>
  </sheetViews>
  <sheetFormatPr defaultColWidth="0" defaultRowHeight="15" x14ac:dyDescent="0.25"/>
  <cols>
    <col min="1" max="1" width="5.28515625" customWidth="1"/>
    <col min="2" max="2" width="23.42578125" customWidth="1"/>
    <col min="3" max="3" width="25.140625" customWidth="1"/>
    <col min="4" max="4" width="2.5703125" customWidth="1"/>
    <col min="5" max="5" width="26.7109375" customWidth="1"/>
    <col min="6" max="6" width="21.42578125" customWidth="1"/>
    <col min="7" max="8" width="1.5703125" customWidth="1"/>
    <col min="9" max="9" width="4.28515625" customWidth="1"/>
    <col min="10" max="13" width="19.42578125" customWidth="1"/>
    <col min="14" max="14" width="3.7109375" customWidth="1"/>
    <col min="15" max="18" width="0.5703125" customWidth="1"/>
    <col min="19" max="20" width="9.7109375" hidden="1" customWidth="1"/>
    <col min="21" max="21" width="12.140625" hidden="1" customWidth="1"/>
    <col min="22" max="22" width="13.5703125" hidden="1" customWidth="1"/>
    <col min="23" max="23" width="9.7109375" hidden="1" customWidth="1"/>
    <col min="24" max="25" width="10.85546875" hidden="1" customWidth="1"/>
    <col min="26" max="51" width="0" hidden="1" customWidth="1"/>
    <col min="52" max="16384" width="9.7109375" hidden="1"/>
  </cols>
  <sheetData>
    <row r="1" spans="1:21" ht="15.75" customHeight="1" x14ac:dyDescent="0.3">
      <c r="A1" s="286"/>
      <c r="B1" s="285"/>
      <c r="C1" s="287"/>
      <c r="D1" s="287"/>
      <c r="E1" s="287"/>
      <c r="F1" s="287"/>
      <c r="G1" s="287"/>
      <c r="H1" s="287"/>
      <c r="I1" s="287"/>
      <c r="J1" s="287"/>
      <c r="K1" s="287"/>
      <c r="L1" s="287"/>
      <c r="M1" s="287"/>
      <c r="N1" s="281"/>
    </row>
    <row r="2" spans="1:21" ht="18.75" x14ac:dyDescent="0.3">
      <c r="A2" s="67"/>
      <c r="B2" s="288"/>
      <c r="C2" s="479" t="s">
        <v>198</v>
      </c>
      <c r="D2" s="288"/>
      <c r="E2" s="30"/>
      <c r="F2" s="479"/>
      <c r="G2" s="479"/>
      <c r="H2" s="479"/>
      <c r="I2" s="479"/>
      <c r="J2" s="479"/>
      <c r="K2" s="288"/>
      <c r="L2" s="288"/>
      <c r="M2" s="288"/>
      <c r="N2" s="289"/>
    </row>
    <row r="3" spans="1:21" ht="3" customHeight="1" x14ac:dyDescent="0.3">
      <c r="A3" s="67"/>
      <c r="B3" s="68"/>
      <c r="C3" s="68"/>
      <c r="D3" s="68"/>
      <c r="E3" s="78"/>
      <c r="F3" s="30"/>
      <c r="G3" s="30"/>
      <c r="H3" s="30"/>
      <c r="I3" s="155"/>
      <c r="J3" s="30"/>
      <c r="K3" s="30"/>
      <c r="L3" s="30"/>
      <c r="M3" s="30"/>
      <c r="N3" s="71"/>
    </row>
    <row r="4" spans="1:21" ht="16.5" x14ac:dyDescent="0.3">
      <c r="A4" s="425"/>
      <c r="B4" s="21" t="s">
        <v>183</v>
      </c>
      <c r="C4" s="439" t="str">
        <f>Expectancy!C2</f>
        <v>Trial Version</v>
      </c>
      <c r="D4" s="339"/>
      <c r="E4" s="428"/>
      <c r="F4" s="449"/>
      <c r="G4" s="145"/>
      <c r="H4" s="30"/>
      <c r="I4" s="155"/>
      <c r="J4" s="654" t="s">
        <v>367</v>
      </c>
      <c r="K4" s="654"/>
      <c r="L4" s="654"/>
      <c r="M4" s="654"/>
      <c r="N4" s="71"/>
      <c r="P4" s="478">
        <f>P5</f>
        <v>3.2</v>
      </c>
      <c r="Q4" s="478">
        <f>1/(1+($P$5/2))</f>
        <v>0.38461538461538458</v>
      </c>
      <c r="R4" s="478"/>
    </row>
    <row r="5" spans="1:21" ht="18.75" x14ac:dyDescent="0.3">
      <c r="A5" s="426"/>
      <c r="B5" s="21" t="s">
        <v>185</v>
      </c>
      <c r="C5" s="470">
        <v>100000</v>
      </c>
      <c r="D5" s="339"/>
      <c r="E5" s="450" t="str">
        <f>IFERROR(IF(U17&lt;0,"# of Trades to Loss "&amp;TEXT(F18,"0.0%")&amp;":","# of Trades to Gain "&amp;TEXT(F18,"0.0%")&amp;":"),"")</f>
        <v># of Trades to Gain 52.2%:</v>
      </c>
      <c r="F5" s="451" t="str">
        <f>IFERROR(IF(RBAF!U17&lt;0,(RBAF!U16+RBAF!U18)&amp;" trades",RBAF!U17&amp;" trades"),0)</f>
        <v>51 trades</v>
      </c>
      <c r="G5" s="170"/>
      <c r="H5" s="170"/>
      <c r="I5" s="170"/>
      <c r="J5" s="146"/>
      <c r="K5" s="30"/>
      <c r="L5" s="71"/>
      <c r="M5" s="71"/>
      <c r="N5" s="71"/>
      <c r="P5" s="478">
        <f>C7/-C8</f>
        <v>3.2</v>
      </c>
      <c r="Q5" s="478">
        <f>1/(1+($P$5/1))</f>
        <v>0.23809523809523808</v>
      </c>
      <c r="R5" s="478"/>
    </row>
    <row r="6" spans="1:21" ht="18.75" x14ac:dyDescent="0.3">
      <c r="A6" s="425"/>
      <c r="B6" s="21" t="s">
        <v>189</v>
      </c>
      <c r="C6" s="330">
        <v>0.25</v>
      </c>
      <c r="D6" s="339"/>
      <c r="E6" s="436" t="s">
        <v>186</v>
      </c>
      <c r="F6" s="452">
        <f>IFERROR(IF(RBAF!$U$17&lt;0,RBAF!U16,ROUND((RBAF!U17)*RBAF!C6,0)),0)</f>
        <v>13</v>
      </c>
      <c r="G6" s="170"/>
      <c r="H6" s="170"/>
      <c r="I6" s="170"/>
      <c r="J6" s="146"/>
      <c r="K6" s="157">
        <v>3</v>
      </c>
      <c r="L6" s="169" t="s">
        <v>362</v>
      </c>
      <c r="M6" s="175" t="str">
        <f>IFERROR("1 : "&amp;TEXT((C7/-C8),"#0.00"),0)</f>
        <v>1 : 3.20</v>
      </c>
      <c r="N6" s="71"/>
      <c r="P6" s="478"/>
      <c r="Q6" s="478" t="s">
        <v>358</v>
      </c>
      <c r="R6" s="478"/>
    </row>
    <row r="7" spans="1:21" ht="18.75" x14ac:dyDescent="0.3">
      <c r="A7" s="425"/>
      <c r="B7" s="21" t="s">
        <v>314</v>
      </c>
      <c r="C7" s="430">
        <v>0.12</v>
      </c>
      <c r="D7" s="339"/>
      <c r="E7" s="436" t="s">
        <v>187</v>
      </c>
      <c r="F7" s="453">
        <f>IFERROR(IF(RBAF!$U$17&lt;0,RBAF!U18,(RBAF!U17)-RBAF!U19),0)</f>
        <v>38</v>
      </c>
      <c r="G7" s="148"/>
      <c r="H7" s="30"/>
      <c r="I7" s="155"/>
      <c r="J7" s="146"/>
      <c r="K7" s="157">
        <v>2</v>
      </c>
      <c r="L7" s="443" t="s">
        <v>364</v>
      </c>
      <c r="M7" s="27">
        <f>IFERROR(Q5,0)</f>
        <v>0.23809523809523808</v>
      </c>
      <c r="N7" s="69"/>
      <c r="P7" s="478" t="s">
        <v>359</v>
      </c>
      <c r="Q7" s="478" t="s">
        <v>360</v>
      </c>
      <c r="R7" s="478" t="s">
        <v>361</v>
      </c>
    </row>
    <row r="8" spans="1:21" ht="18.75" x14ac:dyDescent="0.3">
      <c r="A8" s="122"/>
      <c r="B8" s="21" t="s">
        <v>672</v>
      </c>
      <c r="C8" s="431">
        <v>-3.7499999999999999E-2</v>
      </c>
      <c r="D8" s="339"/>
      <c r="E8" s="445" t="s">
        <v>200</v>
      </c>
      <c r="F8" s="454">
        <f>RBAF!C7*C14</f>
        <v>8400</v>
      </c>
      <c r="G8" s="148"/>
      <c r="H8" s="30"/>
      <c r="I8" s="155"/>
      <c r="J8" s="146"/>
      <c r="K8" s="157">
        <v>1</v>
      </c>
      <c r="L8" s="443" t="s">
        <v>369</v>
      </c>
      <c r="M8" s="176">
        <f>IFERROR(Q4,0)</f>
        <v>0.38461538461538458</v>
      </c>
      <c r="N8" s="69"/>
      <c r="P8" s="478">
        <f t="shared" ref="P8:P13" si="0">P9+1</f>
        <v>8</v>
      </c>
      <c r="Q8" s="478">
        <f t="shared" ref="Q8:Q18" si="1">1/(1+($P8/1))</f>
        <v>0.1111111111111111</v>
      </c>
      <c r="R8" s="478">
        <f t="shared" ref="R8:R18" si="2">1/(1+($P8/2))</f>
        <v>0.2</v>
      </c>
    </row>
    <row r="9" spans="1:21" ht="18.75" x14ac:dyDescent="0.3">
      <c r="A9" s="30"/>
      <c r="B9" s="241" t="s">
        <v>669</v>
      </c>
      <c r="C9" s="330">
        <v>0.7</v>
      </c>
      <c r="D9" s="339"/>
      <c r="E9" s="21" t="s">
        <v>201</v>
      </c>
      <c r="F9" s="455">
        <f>RBAF!C8*C15</f>
        <v>-1500</v>
      </c>
      <c r="G9" s="149"/>
      <c r="H9" s="159"/>
      <c r="I9" s="158"/>
      <c r="J9" s="146"/>
      <c r="K9" s="71"/>
      <c r="L9" s="71"/>
      <c r="M9" s="71"/>
      <c r="N9" s="69"/>
      <c r="P9" s="478">
        <f t="shared" si="0"/>
        <v>7</v>
      </c>
      <c r="Q9" s="478">
        <f t="shared" si="1"/>
        <v>0.125</v>
      </c>
      <c r="R9" s="478">
        <f t="shared" si="2"/>
        <v>0.22222222222222221</v>
      </c>
    </row>
    <row r="10" spans="1:21" ht="18.75" x14ac:dyDescent="0.3">
      <c r="A10" s="30"/>
      <c r="B10" s="241" t="s">
        <v>670</v>
      </c>
      <c r="C10" s="330">
        <v>0.4</v>
      </c>
      <c r="D10" s="339"/>
      <c r="E10" s="435" t="s">
        <v>444</v>
      </c>
      <c r="F10" s="456">
        <f>IFERROR(F8/$C$5,"")</f>
        <v>8.4000000000000005E-2</v>
      </c>
      <c r="G10" s="150"/>
      <c r="H10" s="159"/>
      <c r="I10" s="158"/>
      <c r="J10" s="121"/>
      <c r="K10" s="71"/>
      <c r="L10" s="71"/>
      <c r="M10" s="71"/>
      <c r="N10" s="69"/>
      <c r="P10" s="478">
        <f t="shared" si="0"/>
        <v>6</v>
      </c>
      <c r="Q10" s="478">
        <f t="shared" si="1"/>
        <v>0.14285714285714285</v>
      </c>
      <c r="R10" s="478">
        <f t="shared" si="2"/>
        <v>0.25</v>
      </c>
    </row>
    <row r="11" spans="1:21" ht="18.75" x14ac:dyDescent="0.3">
      <c r="A11" s="30"/>
      <c r="B11" s="21" t="s">
        <v>671</v>
      </c>
      <c r="C11" s="330">
        <v>0.5</v>
      </c>
      <c r="D11" s="339"/>
      <c r="E11" s="446" t="s">
        <v>602</v>
      </c>
      <c r="F11" s="457">
        <f>IFERROR(F9/$C$5,"")</f>
        <v>-1.4999999999999999E-2</v>
      </c>
      <c r="G11" s="144"/>
      <c r="H11" s="159"/>
      <c r="I11" s="158"/>
      <c r="J11" s="146"/>
      <c r="K11" s="71"/>
      <c r="L11" s="71"/>
      <c r="M11" s="71"/>
      <c r="N11" s="69"/>
      <c r="P11" s="478">
        <f t="shared" si="0"/>
        <v>5</v>
      </c>
      <c r="Q11" s="478">
        <f t="shared" si="1"/>
        <v>0.16666666666666666</v>
      </c>
      <c r="R11" s="478">
        <f t="shared" si="2"/>
        <v>0.2857142857142857</v>
      </c>
    </row>
    <row r="12" spans="1:21" ht="16.5" x14ac:dyDescent="0.3">
      <c r="A12" s="30"/>
      <c r="B12" s="154"/>
      <c r="C12" s="458"/>
      <c r="D12" s="339"/>
      <c r="E12" s="21" t="s">
        <v>363</v>
      </c>
      <c r="F12" s="459" t="str">
        <f>IFERROR("1 : "&amp;TEXT((RBAF!C6*F8)/(-F9*(1-RBAF!C6)),"#0.00"),"")</f>
        <v>1 : 1.87</v>
      </c>
      <c r="G12" s="144"/>
      <c r="H12" s="159"/>
      <c r="I12" s="158"/>
      <c r="J12" s="147"/>
      <c r="K12" s="147"/>
      <c r="L12" s="147"/>
      <c r="M12" s="147"/>
      <c r="N12" s="70"/>
      <c r="P12" s="478">
        <f t="shared" si="0"/>
        <v>4</v>
      </c>
      <c r="Q12" s="478">
        <f t="shared" si="1"/>
        <v>0.2</v>
      </c>
      <c r="R12" s="478">
        <f t="shared" si="2"/>
        <v>0.33333333333333331</v>
      </c>
    </row>
    <row r="13" spans="1:21" ht="15.75" x14ac:dyDescent="0.25">
      <c r="A13" s="30"/>
      <c r="B13" s="154"/>
      <c r="C13" s="154"/>
      <c r="D13" s="437"/>
      <c r="E13" s="440" t="s">
        <v>660</v>
      </c>
      <c r="F13" s="459" t="str">
        <f>IFERROR(TEXT((F8)/(-F9),"#0.00"),"")</f>
        <v>5.60</v>
      </c>
      <c r="G13" s="144"/>
      <c r="H13" s="159"/>
      <c r="I13" s="158"/>
      <c r="J13" s="146"/>
      <c r="K13" s="146"/>
      <c r="L13" s="146"/>
      <c r="M13" s="146"/>
      <c r="N13" s="72"/>
      <c r="P13" s="478">
        <f t="shared" si="0"/>
        <v>3</v>
      </c>
      <c r="Q13" s="478">
        <f t="shared" si="1"/>
        <v>0.25</v>
      </c>
      <c r="R13" s="478">
        <f t="shared" si="2"/>
        <v>0.4</v>
      </c>
    </row>
    <row r="14" spans="1:21" ht="15.75" x14ac:dyDescent="0.25">
      <c r="A14" s="30"/>
      <c r="B14" s="21" t="s">
        <v>442</v>
      </c>
      <c r="C14" s="475">
        <f>RBAF!C9*RBAF!C5</f>
        <v>70000</v>
      </c>
      <c r="D14" s="437"/>
      <c r="E14" s="445" t="s">
        <v>199</v>
      </c>
      <c r="F14" s="460">
        <f>IFERROR((RBAF!C6*F8)+(F9*(1-RBAF!C6)),"")</f>
        <v>975</v>
      </c>
      <c r="G14" s="122"/>
      <c r="H14" s="159"/>
      <c r="I14" s="155"/>
      <c r="J14" s="146"/>
      <c r="K14" s="146"/>
      <c r="L14" s="146"/>
      <c r="M14" s="146"/>
      <c r="N14" s="77"/>
      <c r="P14" s="478">
        <f>P15+1</f>
        <v>2</v>
      </c>
      <c r="Q14" s="478">
        <f t="shared" si="1"/>
        <v>0.33333333333333331</v>
      </c>
      <c r="R14" s="478">
        <f t="shared" si="2"/>
        <v>0.5</v>
      </c>
    </row>
    <row r="15" spans="1:21" ht="15.75" x14ac:dyDescent="0.25">
      <c r="A15" s="30"/>
      <c r="B15" s="21" t="s">
        <v>441</v>
      </c>
      <c r="C15" s="476">
        <f>C10*C5</f>
        <v>40000</v>
      </c>
      <c r="D15" s="437"/>
      <c r="E15" s="447" t="s">
        <v>659</v>
      </c>
      <c r="F15" s="461">
        <f>IFERROR(((1+(F8/-F9))*C6-1),"")</f>
        <v>0.64999999999999991</v>
      </c>
      <c r="G15" s="151"/>
      <c r="H15" s="159"/>
      <c r="I15" s="155"/>
      <c r="J15" s="146"/>
      <c r="K15" s="146"/>
      <c r="L15" s="146"/>
      <c r="M15" s="146"/>
      <c r="N15" s="71"/>
      <c r="P15" s="478">
        <v>1</v>
      </c>
      <c r="Q15" s="478">
        <f t="shared" si="1"/>
        <v>0.5</v>
      </c>
      <c r="R15" s="478">
        <f t="shared" si="2"/>
        <v>0.66666666666666663</v>
      </c>
      <c r="U15">
        <f>C7/-C8</f>
        <v>3.2</v>
      </c>
    </row>
    <row r="16" spans="1:21" ht="15.75" x14ac:dyDescent="0.25">
      <c r="A16" s="30"/>
      <c r="B16" s="21" t="s">
        <v>598</v>
      </c>
      <c r="C16" s="477">
        <f>C5*C11</f>
        <v>50000</v>
      </c>
      <c r="D16" s="154"/>
      <c r="E16" s="21" t="s">
        <v>316</v>
      </c>
      <c r="F16" s="462">
        <f>RBAF!F17+RBAF!C5</f>
        <v>152200</v>
      </c>
      <c r="G16" s="152"/>
      <c r="H16" s="159"/>
      <c r="I16" s="155"/>
      <c r="J16" s="30"/>
      <c r="K16" s="146"/>
      <c r="L16" s="146"/>
      <c r="M16" s="146"/>
      <c r="N16" s="71"/>
      <c r="P16" s="478">
        <f>P15-0.3</f>
        <v>0.7</v>
      </c>
      <c r="Q16" s="478">
        <f t="shared" si="1"/>
        <v>0.58823529411764708</v>
      </c>
      <c r="R16" s="478">
        <f t="shared" si="2"/>
        <v>0.7407407407407407</v>
      </c>
      <c r="U16">
        <f>ROUND((RBAF!C14/-RBAF!F14)*C6,0)</f>
        <v>-18</v>
      </c>
    </row>
    <row r="17" spans="1:21" ht="18.75" x14ac:dyDescent="0.3">
      <c r="A17" s="30"/>
      <c r="B17" s="154"/>
      <c r="C17" s="463"/>
      <c r="D17" s="154"/>
      <c r="E17" s="21" t="s">
        <v>315</v>
      </c>
      <c r="F17" s="464">
        <f>U23+U22</f>
        <v>52200</v>
      </c>
      <c r="G17" s="153"/>
      <c r="H17" s="160"/>
      <c r="I17" s="155"/>
      <c r="J17" s="655" t="s">
        <v>365</v>
      </c>
      <c r="K17" s="655"/>
      <c r="L17" s="655"/>
      <c r="M17" s="655"/>
      <c r="N17" s="71"/>
      <c r="P17" s="478">
        <f t="shared" ref="P17:P18" si="3">P16-0.3</f>
        <v>0.39999999999999997</v>
      </c>
      <c r="Q17" s="478">
        <f t="shared" si="1"/>
        <v>0.7142857142857143</v>
      </c>
      <c r="R17" s="478">
        <f t="shared" si="2"/>
        <v>0.83333333333333337</v>
      </c>
      <c r="U17">
        <f>ROUND(((C5*C11)/RBAF!F14),0)</f>
        <v>51</v>
      </c>
    </row>
    <row r="18" spans="1:21" ht="15.75" x14ac:dyDescent="0.25">
      <c r="A18" s="122"/>
      <c r="B18" s="154"/>
      <c r="C18" s="154"/>
      <c r="D18" s="154"/>
      <c r="E18" s="448" t="s">
        <v>192</v>
      </c>
      <c r="F18" s="465">
        <f>IFERROR(F17/RBAF!C5,"")</f>
        <v>0.52200000000000002</v>
      </c>
      <c r="G18" s="154"/>
      <c r="H18" s="160"/>
      <c r="I18" s="155"/>
      <c r="J18" s="171" t="s">
        <v>295</v>
      </c>
      <c r="K18" s="172" t="s">
        <v>294</v>
      </c>
      <c r="L18" s="172" t="s">
        <v>296</v>
      </c>
      <c r="M18" s="173" t="s">
        <v>297</v>
      </c>
      <c r="N18" s="71"/>
      <c r="O18">
        <f>-J19/2</f>
        <v>0.125</v>
      </c>
      <c r="P18" s="478">
        <f t="shared" si="3"/>
        <v>9.9999999999999978E-2</v>
      </c>
      <c r="Q18" s="478">
        <f t="shared" si="1"/>
        <v>0.90909090909090906</v>
      </c>
      <c r="R18" s="478">
        <f t="shared" si="2"/>
        <v>0.95238095238095233</v>
      </c>
      <c r="U18">
        <f>ROUND((RBAF!C14/-RBAF!F14),0)-U16</f>
        <v>-54</v>
      </c>
    </row>
    <row r="19" spans="1:21" ht="18.75" customHeight="1" x14ac:dyDescent="0.3">
      <c r="A19" s="122"/>
      <c r="B19" s="154"/>
      <c r="C19" s="466"/>
      <c r="D19" s="466"/>
      <c r="E19" s="466"/>
      <c r="F19" s="467"/>
      <c r="G19" s="30"/>
      <c r="H19" s="160"/>
      <c r="I19" s="155"/>
      <c r="J19" s="165">
        <v>-0.25</v>
      </c>
      <c r="K19" s="166">
        <f>C5*J19</f>
        <v>-25000</v>
      </c>
      <c r="L19" s="167">
        <f>C5+K19</f>
        <v>75000</v>
      </c>
      <c r="M19" s="168">
        <f>IFERROR(-K19/L19,0)</f>
        <v>0.33333333333333331</v>
      </c>
      <c r="N19" s="71"/>
      <c r="U19">
        <f>IFERROR(IF($U$17&lt;0,U16,ROUND((U17)*C6,0)),0)</f>
        <v>13</v>
      </c>
    </row>
    <row r="20" spans="1:21" ht="15.75" customHeight="1" x14ac:dyDescent="0.25">
      <c r="A20" s="30"/>
      <c r="B20" s="656" t="str">
        <f>IFERROR(IF(U17&lt;0,U20,U21),"")</f>
        <v>You will achieve your desired return of 50.0% in 51 trades by consistently maintaining your statistics of 25.0% win rate, and an average %gain/loss of 12.0%/-3.8%</v>
      </c>
      <c r="C20" s="656"/>
      <c r="D20" s="656"/>
      <c r="E20" s="656"/>
      <c r="F20" s="657"/>
      <c r="G20" s="156"/>
      <c r="H20" s="160"/>
      <c r="I20" s="155"/>
      <c r="J20" s="162">
        <f>J21+$O$18</f>
        <v>-0.125</v>
      </c>
      <c r="K20" s="163">
        <f t="shared" ref="K20:K30" si="4">L20-$C$5</f>
        <v>-12500</v>
      </c>
      <c r="L20" s="161">
        <f t="shared" ref="L20:L30" si="5">$C$5*(1+J20)</f>
        <v>87500</v>
      </c>
      <c r="M20" s="164">
        <f>IFERROR(-K20/L20,0)</f>
        <v>0.14285714285714285</v>
      </c>
      <c r="N20" s="71"/>
      <c r="U20" t="str">
        <f>"You will loss "&amp;TEXT(RBAF!F18,"0.0%")&amp;" of your Portfolio in "&amp;RBAF!F5&amp;" by consistently maintaining your statistics of "&amp;TEXT(C6,".0%")&amp;" win rate, and an average %gain/loss of "&amp;TEXT(C7,"0.0%")&amp;"/"&amp;TEXT(C8,"0.0%")</f>
        <v>You will loss 52.2% of your Portfolio in 51 trades by consistently maintaining your statistics of 25.0% win rate, and an average %gain/loss of 12.0%/-3.8%</v>
      </c>
    </row>
    <row r="21" spans="1:21" ht="16.5" x14ac:dyDescent="0.3">
      <c r="A21" s="30"/>
      <c r="B21" s="656"/>
      <c r="C21" s="656"/>
      <c r="D21" s="656"/>
      <c r="E21" s="656"/>
      <c r="F21" s="657"/>
      <c r="G21" s="156"/>
      <c r="H21" s="160"/>
      <c r="I21" s="155"/>
      <c r="J21" s="162">
        <f>J19</f>
        <v>-0.25</v>
      </c>
      <c r="K21" s="163">
        <f t="shared" si="4"/>
        <v>-25000</v>
      </c>
      <c r="L21" s="161">
        <f t="shared" si="5"/>
        <v>75000</v>
      </c>
      <c r="M21" s="164">
        <f t="shared" ref="M21:M30" si="6">IFERROR(-K21/L21,0)</f>
        <v>0.33333333333333331</v>
      </c>
      <c r="N21" s="73"/>
      <c r="U21" t="str">
        <f>"You will achieve your desired return of "&amp;TEXT(C11,".0%")&amp;" in "&amp;RBAF!F5&amp;" by consistently maintaining your statistics of "&amp;TEXT(C6,".0%")&amp;" win rate, and an average %gain/loss of "&amp;TEXT(C7,"0.0%")&amp;"/"&amp;TEXT(C8,"0.0%")</f>
        <v>You will achieve your desired return of 50.0% in 51 trades by consistently maintaining your statistics of 25.0% win rate, and an average %gain/loss of 12.0%/-3.8%</v>
      </c>
    </row>
    <row r="22" spans="1:21" ht="16.5" x14ac:dyDescent="0.3">
      <c r="A22" s="30"/>
      <c r="B22" s="438"/>
      <c r="C22" s="438"/>
      <c r="D22" s="438"/>
      <c r="E22" s="438"/>
      <c r="F22" s="468"/>
      <c r="G22" s="30"/>
      <c r="H22" s="159"/>
      <c r="I22" s="155"/>
      <c r="J22" s="162">
        <f>J21-5%</f>
        <v>-0.3</v>
      </c>
      <c r="K22" s="163">
        <f t="shared" si="4"/>
        <v>-30000</v>
      </c>
      <c r="L22" s="161">
        <f t="shared" si="5"/>
        <v>70000</v>
      </c>
      <c r="M22" s="164">
        <f t="shared" si="6"/>
        <v>0.42857142857142855</v>
      </c>
      <c r="N22" s="73"/>
      <c r="U22">
        <f>RBAF!F8*RBAF!F6</f>
        <v>109200</v>
      </c>
    </row>
    <row r="23" spans="1:21" ht="16.5" x14ac:dyDescent="0.3">
      <c r="A23" s="30"/>
      <c r="B23" s="30"/>
      <c r="C23" s="30"/>
      <c r="D23" s="30"/>
      <c r="E23" s="30"/>
      <c r="F23" s="469"/>
      <c r="G23" s="30"/>
      <c r="H23" s="30"/>
      <c r="I23" s="155"/>
      <c r="J23" s="162">
        <f>J22-5%</f>
        <v>-0.35</v>
      </c>
      <c r="K23" s="163">
        <f t="shared" si="4"/>
        <v>-35000</v>
      </c>
      <c r="L23" s="161">
        <f t="shared" si="5"/>
        <v>65000</v>
      </c>
      <c r="M23" s="164">
        <f t="shared" si="6"/>
        <v>0.53846153846153844</v>
      </c>
      <c r="N23" s="73"/>
      <c r="U23">
        <f>RBAF!F9*RBAF!F7</f>
        <v>-57000</v>
      </c>
    </row>
    <row r="24" spans="1:21" ht="15.75" x14ac:dyDescent="0.25">
      <c r="A24" s="30"/>
      <c r="B24" s="30"/>
      <c r="C24" s="30"/>
      <c r="D24" s="30"/>
      <c r="E24" s="30"/>
      <c r="F24" s="469"/>
      <c r="G24" s="30"/>
      <c r="H24" s="30"/>
      <c r="I24" s="155"/>
      <c r="J24" s="162">
        <f>J23-5%</f>
        <v>-0.39999999999999997</v>
      </c>
      <c r="K24" s="163">
        <f t="shared" si="4"/>
        <v>-39999.999999999993</v>
      </c>
      <c r="L24" s="161">
        <f t="shared" si="5"/>
        <v>60000.000000000007</v>
      </c>
      <c r="M24" s="164">
        <f t="shared" si="6"/>
        <v>0.66666666666666652</v>
      </c>
      <c r="N24" s="71"/>
      <c r="U24">
        <f>U23+U22</f>
        <v>52200</v>
      </c>
    </row>
    <row r="25" spans="1:21" ht="15.75" x14ac:dyDescent="0.25">
      <c r="A25" s="30"/>
      <c r="B25" s="30"/>
      <c r="C25" s="30"/>
      <c r="D25" s="30"/>
      <c r="E25" s="30"/>
      <c r="F25" s="469"/>
      <c r="G25" s="30"/>
      <c r="H25" s="30"/>
      <c r="I25" s="155"/>
      <c r="J25" s="162">
        <f t="shared" ref="J25:J30" si="7">J24-5%</f>
        <v>-0.44999999999999996</v>
      </c>
      <c r="K25" s="163">
        <f t="shared" si="4"/>
        <v>-44999.999999999993</v>
      </c>
      <c r="L25" s="161">
        <f t="shared" si="5"/>
        <v>55000.000000000007</v>
      </c>
      <c r="M25" s="164">
        <f t="shared" si="6"/>
        <v>0.8181818181818179</v>
      </c>
      <c r="N25" s="71"/>
    </row>
    <row r="26" spans="1:21" ht="15.75" x14ac:dyDescent="0.25">
      <c r="A26" s="30"/>
      <c r="B26" s="30"/>
      <c r="C26" s="30"/>
      <c r="D26" s="30"/>
      <c r="E26" s="30"/>
      <c r="F26" s="469"/>
      <c r="G26" s="30"/>
      <c r="H26" s="30"/>
      <c r="I26" s="155"/>
      <c r="J26" s="162">
        <f t="shared" si="7"/>
        <v>-0.49999999999999994</v>
      </c>
      <c r="K26" s="163">
        <f t="shared" si="4"/>
        <v>-50000</v>
      </c>
      <c r="L26" s="161">
        <f t="shared" si="5"/>
        <v>50000</v>
      </c>
      <c r="M26" s="164">
        <f t="shared" si="6"/>
        <v>1</v>
      </c>
      <c r="N26" s="30"/>
    </row>
    <row r="27" spans="1:21" ht="15.75" x14ac:dyDescent="0.25">
      <c r="A27" s="30"/>
      <c r="B27" s="30"/>
      <c r="C27" s="30"/>
      <c r="D27" s="30"/>
      <c r="E27" s="30"/>
      <c r="F27" s="469"/>
      <c r="G27" s="30"/>
      <c r="H27" s="30"/>
      <c r="I27" s="155"/>
      <c r="J27" s="162">
        <f t="shared" si="7"/>
        <v>-0.54999999999999993</v>
      </c>
      <c r="K27" s="163">
        <f t="shared" si="4"/>
        <v>-54999.999999999993</v>
      </c>
      <c r="L27" s="161">
        <f t="shared" si="5"/>
        <v>45000.000000000007</v>
      </c>
      <c r="M27" s="164">
        <f t="shared" si="6"/>
        <v>1.2222222222222219</v>
      </c>
      <c r="N27" s="30"/>
    </row>
    <row r="28" spans="1:21" ht="15.75" x14ac:dyDescent="0.25">
      <c r="A28" s="30"/>
      <c r="B28" s="30"/>
      <c r="C28" s="30"/>
      <c r="D28" s="30"/>
      <c r="E28" s="30"/>
      <c r="F28" s="469"/>
      <c r="G28" s="30"/>
      <c r="H28" s="30"/>
      <c r="I28" s="155"/>
      <c r="J28" s="162">
        <f t="shared" si="7"/>
        <v>-0.6</v>
      </c>
      <c r="K28" s="163">
        <f t="shared" si="4"/>
        <v>-60000</v>
      </c>
      <c r="L28" s="161">
        <f t="shared" si="5"/>
        <v>40000</v>
      </c>
      <c r="M28" s="164">
        <f t="shared" si="6"/>
        <v>1.5</v>
      </c>
      <c r="N28" s="30"/>
    </row>
    <row r="29" spans="1:21" ht="15.75" x14ac:dyDescent="0.25">
      <c r="A29" s="30"/>
      <c r="B29" s="30"/>
      <c r="C29" s="30"/>
      <c r="D29" s="30"/>
      <c r="E29" s="30"/>
      <c r="F29" s="469"/>
      <c r="G29" s="30"/>
      <c r="H29" s="30"/>
      <c r="I29" s="155"/>
      <c r="J29" s="162">
        <f t="shared" si="7"/>
        <v>-0.65</v>
      </c>
      <c r="K29" s="163">
        <f t="shared" si="4"/>
        <v>-65000</v>
      </c>
      <c r="L29" s="161">
        <f t="shared" si="5"/>
        <v>35000</v>
      </c>
      <c r="M29" s="164">
        <f t="shared" si="6"/>
        <v>1.8571428571428572</v>
      </c>
      <c r="N29" s="71"/>
    </row>
    <row r="30" spans="1:21" ht="15.75" x14ac:dyDescent="0.25">
      <c r="A30" s="30"/>
      <c r="B30" s="30"/>
      <c r="C30" s="30"/>
      <c r="D30" s="30"/>
      <c r="E30" s="30"/>
      <c r="F30" s="469"/>
      <c r="G30" s="30"/>
      <c r="H30" s="30"/>
      <c r="I30" s="155"/>
      <c r="J30" s="162">
        <f t="shared" si="7"/>
        <v>-0.70000000000000007</v>
      </c>
      <c r="K30" s="163">
        <f t="shared" si="4"/>
        <v>-70000</v>
      </c>
      <c r="L30" s="161">
        <f t="shared" si="5"/>
        <v>29999.999999999993</v>
      </c>
      <c r="M30" s="164">
        <f t="shared" si="6"/>
        <v>2.3333333333333339</v>
      </c>
      <c r="N30" s="71"/>
    </row>
    <row r="31" spans="1:21" x14ac:dyDescent="0.25">
      <c r="A31" s="30"/>
      <c r="B31" s="30"/>
      <c r="C31" s="30"/>
      <c r="D31" s="30"/>
      <c r="E31" s="30"/>
      <c r="F31" s="30"/>
      <c r="G31" s="30"/>
      <c r="H31" s="30"/>
      <c r="I31" s="155"/>
      <c r="J31" s="30"/>
      <c r="K31" s="71"/>
      <c r="L31" s="71"/>
      <c r="M31" s="71"/>
      <c r="N31" s="71"/>
    </row>
    <row r="32" spans="1:21" x14ac:dyDescent="0.25">
      <c r="A32" s="30"/>
      <c r="B32" s="30"/>
      <c r="C32" s="30"/>
      <c r="D32" s="30"/>
      <c r="E32" s="30"/>
      <c r="F32" s="30"/>
      <c r="G32" s="30"/>
      <c r="H32" s="30"/>
      <c r="I32" s="155"/>
      <c r="J32" s="30"/>
      <c r="K32" s="71"/>
      <c r="L32" s="71"/>
      <c r="M32" s="71"/>
      <c r="N32" s="71"/>
    </row>
    <row r="33" spans="1:14" x14ac:dyDescent="0.25">
      <c r="A33" s="30"/>
      <c r="B33" s="30"/>
      <c r="C33" s="30"/>
      <c r="D33" s="30"/>
      <c r="E33" s="30"/>
      <c r="F33" s="30"/>
      <c r="G33" s="30"/>
      <c r="H33" s="30"/>
      <c r="I33" s="155"/>
      <c r="J33" s="30"/>
      <c r="K33" s="71"/>
      <c r="L33" s="71"/>
      <c r="M33" s="71"/>
      <c r="N33" s="71"/>
    </row>
    <row r="34" spans="1:14" x14ac:dyDescent="0.25">
      <c r="A34" s="30"/>
      <c r="B34" s="30"/>
      <c r="C34" s="30"/>
      <c r="D34" s="30"/>
      <c r="E34" s="30"/>
      <c r="F34" s="30"/>
      <c r="G34" s="30"/>
      <c r="H34" s="30"/>
      <c r="I34" s="155"/>
      <c r="J34" s="30"/>
      <c r="K34" s="71"/>
      <c r="L34" s="71"/>
      <c r="M34" s="71"/>
      <c r="N34" s="71"/>
    </row>
    <row r="35" spans="1:14" x14ac:dyDescent="0.25">
      <c r="A35" s="30"/>
      <c r="B35" s="30"/>
      <c r="C35" s="30"/>
      <c r="D35" s="30"/>
      <c r="E35" s="30"/>
      <c r="F35" s="30"/>
      <c r="G35" s="30"/>
      <c r="H35" s="30"/>
      <c r="I35" s="155"/>
      <c r="J35" s="30"/>
      <c r="K35" s="71"/>
      <c r="L35" s="71"/>
      <c r="M35" s="71"/>
      <c r="N35" s="71"/>
    </row>
    <row r="36" spans="1:14" x14ac:dyDescent="0.25">
      <c r="A36" s="30"/>
      <c r="B36" s="30"/>
      <c r="C36" s="30"/>
      <c r="D36" s="30"/>
      <c r="E36" s="30"/>
      <c r="F36" s="30"/>
      <c r="G36" s="30"/>
      <c r="H36" s="30"/>
      <c r="I36" s="155"/>
      <c r="J36" s="30"/>
      <c r="K36" s="71"/>
      <c r="L36" s="71"/>
      <c r="M36" s="71"/>
      <c r="N36" s="71"/>
    </row>
    <row r="37" spans="1:14" x14ac:dyDescent="0.25">
      <c r="A37" s="30"/>
      <c r="B37" s="30"/>
      <c r="C37" s="30"/>
      <c r="D37" s="30"/>
      <c r="E37" s="30"/>
      <c r="F37" s="30"/>
      <c r="G37" s="30"/>
      <c r="H37" s="30"/>
      <c r="I37" s="155"/>
      <c r="J37" s="30"/>
      <c r="K37" s="71"/>
      <c r="L37" s="71"/>
      <c r="M37" s="71"/>
      <c r="N37" s="71"/>
    </row>
    <row r="38" spans="1:14" x14ac:dyDescent="0.25">
      <c r="A38" s="30"/>
      <c r="B38" s="30"/>
      <c r="C38" s="30"/>
      <c r="D38" s="30"/>
      <c r="E38" s="30"/>
      <c r="F38" s="30"/>
      <c r="G38" s="30"/>
      <c r="H38" s="30"/>
      <c r="I38" s="155"/>
      <c r="J38" s="30"/>
      <c r="K38" s="71"/>
      <c r="L38" s="71"/>
      <c r="M38" s="71"/>
      <c r="N38" s="71"/>
    </row>
    <row r="39" spans="1:14" x14ac:dyDescent="0.25">
      <c r="A39" s="30"/>
      <c r="B39" s="30"/>
      <c r="C39" s="30"/>
      <c r="D39" s="30"/>
      <c r="E39" s="30"/>
      <c r="F39" s="30"/>
      <c r="G39" s="30"/>
      <c r="H39" s="30"/>
      <c r="I39" s="155"/>
      <c r="J39" s="30"/>
      <c r="K39" s="71"/>
      <c r="L39" s="71"/>
      <c r="M39" s="71"/>
      <c r="N39" s="71"/>
    </row>
    <row r="40" spans="1:14" x14ac:dyDescent="0.25">
      <c r="A40" s="30"/>
      <c r="B40" s="30"/>
      <c r="C40" s="30"/>
      <c r="D40" s="30"/>
      <c r="E40" s="30"/>
      <c r="F40" s="30"/>
      <c r="G40" s="30"/>
      <c r="H40" s="30"/>
      <c r="I40" s="155"/>
      <c r="J40" s="30"/>
      <c r="K40" s="71"/>
      <c r="L40" s="71"/>
      <c r="M40" s="71"/>
      <c r="N40" s="71"/>
    </row>
    <row r="41" spans="1:14" x14ac:dyDescent="0.25">
      <c r="A41" s="30"/>
      <c r="B41" s="30"/>
      <c r="C41" s="30"/>
      <c r="D41" s="30"/>
      <c r="E41" s="30"/>
      <c r="F41" s="30"/>
      <c r="G41" s="30"/>
      <c r="H41" s="30"/>
      <c r="I41" s="155"/>
      <c r="J41" s="30"/>
      <c r="K41" s="71"/>
      <c r="L41" s="71"/>
      <c r="M41" s="71"/>
      <c r="N41" s="71"/>
    </row>
    <row r="42" spans="1:14" ht="15.75" x14ac:dyDescent="0.25">
      <c r="A42" s="30"/>
      <c r="B42" s="131"/>
      <c r="C42" s="104"/>
      <c r="D42" s="104"/>
      <c r="E42" s="105"/>
      <c r="F42" s="106"/>
      <c r="G42" s="30"/>
      <c r="H42" s="30"/>
      <c r="I42" s="155"/>
      <c r="J42" s="30"/>
      <c r="K42" s="71"/>
      <c r="L42" s="71"/>
      <c r="M42" s="71"/>
      <c r="N42" s="71"/>
    </row>
    <row r="43" spans="1:14" ht="15.75" x14ac:dyDescent="0.25">
      <c r="A43" s="30"/>
      <c r="B43" s="131"/>
      <c r="C43" s="104"/>
      <c r="D43" s="104"/>
      <c r="E43" s="105"/>
      <c r="F43" s="106"/>
      <c r="G43" s="30"/>
      <c r="H43" s="30"/>
      <c r="I43" s="155"/>
      <c r="J43" s="30"/>
      <c r="K43" s="71"/>
      <c r="L43" s="71"/>
      <c r="M43" s="71"/>
      <c r="N43" s="71"/>
    </row>
    <row r="44" spans="1:14" x14ac:dyDescent="0.25">
      <c r="A44" s="30"/>
      <c r="B44" s="30"/>
      <c r="C44" s="30"/>
      <c r="D44" s="30"/>
      <c r="E44" s="30"/>
      <c r="F44" s="30"/>
      <c r="G44" s="30"/>
      <c r="H44" s="30"/>
      <c r="I44" s="155"/>
      <c r="J44" s="30"/>
      <c r="K44" s="71"/>
      <c r="L44" s="71"/>
      <c r="M44" s="71"/>
      <c r="N44" s="71"/>
    </row>
    <row r="45" spans="1:14" x14ac:dyDescent="0.25">
      <c r="A45" s="30"/>
      <c r="B45" s="30"/>
      <c r="C45" s="30"/>
      <c r="D45" s="30"/>
      <c r="E45" s="30"/>
      <c r="F45" s="30"/>
      <c r="G45" s="30"/>
      <c r="H45" s="30"/>
      <c r="I45" s="155"/>
      <c r="J45" s="30"/>
      <c r="K45" s="71"/>
      <c r="L45" s="71"/>
      <c r="M45" s="71"/>
      <c r="N45" s="71"/>
    </row>
    <row r="46" spans="1:14" x14ac:dyDescent="0.25">
      <c r="A46" s="30"/>
      <c r="B46" s="30"/>
      <c r="C46" s="30"/>
      <c r="D46" s="30"/>
      <c r="E46" s="30"/>
      <c r="F46" s="30"/>
      <c r="G46" s="30"/>
      <c r="H46" s="30"/>
      <c r="I46" s="155"/>
      <c r="J46" s="30"/>
      <c r="K46" s="71"/>
      <c r="L46" s="71"/>
      <c r="M46" s="71"/>
      <c r="N46" s="71"/>
    </row>
    <row r="47" spans="1:14" x14ac:dyDescent="0.25">
      <c r="A47" s="30"/>
      <c r="B47" s="30"/>
      <c r="C47" s="30"/>
      <c r="D47" s="30"/>
      <c r="E47" s="30"/>
      <c r="F47" s="30"/>
      <c r="G47" s="30"/>
      <c r="H47" s="30"/>
      <c r="I47" s="155"/>
      <c r="J47" s="30"/>
      <c r="K47" s="71"/>
      <c r="L47" s="71"/>
      <c r="M47" s="71"/>
      <c r="N47" s="71"/>
    </row>
    <row r="48" spans="1:14" x14ac:dyDescent="0.25">
      <c r="A48" s="30"/>
      <c r="B48" s="30"/>
      <c r="C48" s="30"/>
      <c r="D48" s="30"/>
      <c r="E48" s="30"/>
      <c r="F48" s="30"/>
      <c r="G48" s="30"/>
      <c r="H48" s="30"/>
      <c r="I48" s="155"/>
      <c r="J48" s="30"/>
      <c r="K48" s="71"/>
      <c r="L48" s="71"/>
      <c r="M48" s="71"/>
      <c r="N48" s="71"/>
    </row>
  </sheetData>
  <sheetProtection password="DF8E" sheet="1" objects="1" scenarios="1"/>
  <protectedRanges>
    <protectedRange sqref="C5:C11 J19" name="Range1"/>
    <protectedRange sqref="A1" name="Range1_1"/>
  </protectedRanges>
  <mergeCells count="3">
    <mergeCell ref="J4:M4"/>
    <mergeCell ref="J17:M17"/>
    <mergeCell ref="B20:F21"/>
  </mergeCells>
  <conditionalFormatting sqref="J19 F17:F18">
    <cfRule type="cellIs" dxfId="21" priority="14" operator="greaterThan">
      <formula>0</formula>
    </cfRule>
  </conditionalFormatting>
  <conditionalFormatting sqref="M19">
    <cfRule type="cellIs" dxfId="20" priority="15" operator="greaterThan">
      <formula>0</formula>
    </cfRule>
  </conditionalFormatting>
  <conditionalFormatting sqref="E5">
    <cfRule type="containsText" dxfId="19" priority="10" operator="containsText" text="loss">
      <formula>NOT(ISERROR(SEARCH("loss",E5)))</formula>
    </cfRule>
  </conditionalFormatting>
  <conditionalFormatting sqref="B20">
    <cfRule type="containsText" dxfId="18" priority="9" operator="containsText" text="portfolio">
      <formula>NOT(ISERROR(SEARCH("portfolio",B20)))</formula>
    </cfRule>
  </conditionalFormatting>
  <conditionalFormatting sqref="F14">
    <cfRule type="cellIs" dxfId="17" priority="4" operator="lessThan">
      <formula>0</formula>
    </cfRule>
  </conditionalFormatting>
  <conditionalFormatting sqref="F15">
    <cfRule type="cellIs" dxfId="16" priority="2" operator="greaterThan">
      <formula>0</formula>
    </cfRule>
  </conditionalFormatting>
  <conditionalFormatting sqref="F16">
    <cfRule type="cellIs" dxfId="15" priority="1" operator="lessThan">
      <formula>0</formula>
    </cfRule>
  </conditionalFormatting>
  <conditionalFormatting sqref="F5">
    <cfRule type="expression" dxfId="14" priority="408">
      <formula>$U$17&lt;0</formula>
    </cfRule>
    <cfRule type="containsText" dxfId="13" priority="409" operator="containsText" text="negative">
      <formula>NOT(ISERROR(SEARCH("negative",F5)))</formula>
    </cfRule>
  </conditionalFormatting>
  <dataValidations count="7">
    <dataValidation type="custom" allowBlank="1" showInputMessage="1" showErrorMessage="1" error="Enter 1% to 100%" sqref="C9:C10" xr:uid="{00000000-0002-0000-0500-000000000000}">
      <formula1>AND(C9&gt;0.001,C9&lt;=1)</formula1>
    </dataValidation>
    <dataValidation type="custom" errorStyle="information" allowBlank="1" showInputMessage="1" showErrorMessage="1" error="Invalid Input" prompt="Enter A Negative Value" sqref="J19" xr:uid="{00000000-0002-0000-0500-000001000000}">
      <formula1>AND(J19&lt;0,J19&gt;=-0.99)</formula1>
    </dataValidation>
    <dataValidation type="custom" allowBlank="1" showInputMessage="1" showErrorMessage="1" error="Enter A Positive Value" sqref="C11" xr:uid="{00000000-0002-0000-0500-000002000000}">
      <formula1>C11&gt;0</formula1>
    </dataValidation>
    <dataValidation type="custom" allowBlank="1" showInputMessage="1" showErrorMessage="1" error="Enter 1% to 100%" sqref="C6" xr:uid="{00000000-0002-0000-0500-000003000000}">
      <formula1>AND(C6&gt;=0.001,C6&lt;=1)</formula1>
    </dataValidation>
    <dataValidation type="custom" allowBlank="1" showInputMessage="1" showErrorMessage="1" error="Enter A Negative Value" prompt="Enter A Negative Value" sqref="C8" xr:uid="{00000000-0002-0000-0500-000004000000}">
      <formula1>C8&lt;=0</formula1>
    </dataValidation>
    <dataValidation allowBlank="1" showInputMessage="1" showErrorMessage="1" prompt="Average Profit / Average Loss _x000a_or_x000a_(Profit/Loss Ratio)" sqref="E13" xr:uid="{1C6A22C1-E285-46E5-9DF7-44423EA3EA66}"/>
    <dataValidation allowBlank="1" showInputMessage="1" showErrorMessage="1" prompt="(Win Rate% x Average Gain) _x000a_Divided by_x000a_(Loss Rate% x Average Loss)" sqref="E12" xr:uid="{722845F9-0682-4692-A688-4A6E7A0E3DB2}"/>
  </dataValidation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68FE-3F15-4630-ADDC-E62CDDCAEF66}">
  <sheetPr codeName="Sheet8">
    <tabColor rgb="FFC00000"/>
  </sheetPr>
  <dimension ref="A1:AU54"/>
  <sheetViews>
    <sheetView showGridLines="0" showRowColHeaders="0" topLeftCell="B1" zoomScaleNormal="100" workbookViewId="0">
      <pane ySplit="14" topLeftCell="A15" activePane="bottomLeft" state="frozen"/>
      <selection sqref="A1:AX1"/>
      <selection pane="bottomLeft" activeCell="X12" sqref="X12:Y12"/>
    </sheetView>
  </sheetViews>
  <sheetFormatPr defaultColWidth="0" defaultRowHeight="15" x14ac:dyDescent="0.25"/>
  <cols>
    <col min="1" max="1" width="0.5703125" hidden="1" customWidth="1"/>
    <col min="2" max="2" width="0.42578125" customWidth="1"/>
    <col min="3" max="3" width="3.5703125" customWidth="1"/>
    <col min="4" max="4" width="6.7109375" customWidth="1"/>
    <col min="5" max="5" width="7.7109375" customWidth="1"/>
    <col min="6" max="6" width="13.5703125" customWidth="1"/>
    <col min="7" max="12" width="11.85546875" customWidth="1"/>
    <col min="13" max="14" width="11.5703125" hidden="1" customWidth="1"/>
    <col min="15" max="16" width="12" hidden="1" customWidth="1"/>
    <col min="17" max="17" width="18.7109375" customWidth="1"/>
    <col min="18" max="18" width="14.42578125" customWidth="1"/>
    <col min="19" max="19" width="8" customWidth="1"/>
    <col min="20" max="20" width="16.5703125" hidden="1" customWidth="1"/>
    <col min="21" max="21" width="14.42578125" customWidth="1"/>
    <col min="22" max="22" width="8" customWidth="1"/>
    <col min="23" max="23" width="8" hidden="1" customWidth="1"/>
    <col min="24" max="24" width="14.42578125" customWidth="1"/>
    <col min="25" max="25" width="8" customWidth="1"/>
    <col min="26" max="26" width="3.140625" customWidth="1"/>
    <col min="27" max="27" width="12.28515625" hidden="1" customWidth="1"/>
    <col min="28" max="28" width="10.140625" hidden="1" customWidth="1"/>
    <col min="29" max="29" width="4.140625" hidden="1" customWidth="1"/>
    <col min="30" max="31" width="9.42578125" hidden="1" customWidth="1"/>
    <col min="32" max="37" width="6.85546875" hidden="1" customWidth="1"/>
    <col min="38" max="38" width="9.85546875" hidden="1" customWidth="1"/>
    <col min="39" max="42" width="6.85546875" hidden="1" customWidth="1"/>
    <col min="43" max="16384" width="8" hidden="1"/>
  </cols>
  <sheetData>
    <row r="1" spans="1:47" ht="15.75" customHeight="1" x14ac:dyDescent="0.25">
      <c r="A1" s="275"/>
      <c r="B1" s="276"/>
      <c r="C1" s="286"/>
      <c r="D1" s="286"/>
      <c r="E1" s="285"/>
      <c r="F1" s="276"/>
      <c r="G1" s="277"/>
      <c r="H1" s="277"/>
      <c r="I1" s="276"/>
      <c r="J1" s="276"/>
      <c r="K1" s="276"/>
      <c r="L1" s="276"/>
      <c r="M1" s="272"/>
      <c r="Q1" s="278"/>
      <c r="R1" s="278"/>
      <c r="S1" s="278"/>
      <c r="T1" s="272"/>
      <c r="U1" s="279"/>
      <c r="V1" s="279"/>
      <c r="W1" s="272"/>
      <c r="X1" s="278"/>
      <c r="Y1" s="278"/>
      <c r="Z1" s="280"/>
      <c r="AA1">
        <v>5058451</v>
      </c>
    </row>
    <row r="2" spans="1:47" ht="3.75" customHeight="1" x14ac:dyDescent="0.3">
      <c r="A2" s="244"/>
      <c r="B2" s="243"/>
      <c r="C2" s="255"/>
      <c r="D2" s="255"/>
      <c r="E2" s="252"/>
      <c r="F2" s="252"/>
      <c r="G2" s="251"/>
      <c r="H2" s="256"/>
      <c r="I2" s="252"/>
      <c r="J2" s="252"/>
      <c r="K2" s="253"/>
      <c r="L2" s="253"/>
      <c r="M2" s="30"/>
      <c r="Q2" s="30"/>
      <c r="R2" s="30"/>
      <c r="S2" s="30"/>
      <c r="T2" s="30"/>
      <c r="U2" s="30"/>
      <c r="V2" s="30"/>
      <c r="W2" s="30"/>
      <c r="X2" s="30"/>
      <c r="Y2" s="252"/>
      <c r="Z2" s="254"/>
    </row>
    <row r="3" spans="1:47" ht="14.1" customHeight="1" x14ac:dyDescent="0.25">
      <c r="A3" s="244"/>
      <c r="B3" s="245"/>
      <c r="C3" s="261"/>
      <c r="D3" s="261"/>
      <c r="E3" s="38"/>
      <c r="F3" s="262" t="s">
        <v>183</v>
      </c>
      <c r="G3" s="660" t="str">
        <f>'1-Tranche'!D2</f>
        <v>Trial Version</v>
      </c>
      <c r="H3" s="660"/>
      <c r="I3" s="660"/>
      <c r="J3" s="368"/>
      <c r="K3" s="264"/>
      <c r="L3" s="265"/>
      <c r="M3" s="38"/>
      <c r="Q3" s="30"/>
      <c r="R3" s="38"/>
      <c r="S3" s="38"/>
      <c r="T3" s="38"/>
      <c r="U3" s="38"/>
      <c r="V3" s="38"/>
      <c r="W3" s="38"/>
      <c r="X3" s="38"/>
      <c r="Y3" s="38"/>
      <c r="Z3" s="254"/>
    </row>
    <row r="4" spans="1:47" ht="14.1" customHeight="1" x14ac:dyDescent="0.3">
      <c r="A4" s="244"/>
      <c r="B4" s="247"/>
      <c r="C4" s="261"/>
      <c r="D4" s="670" t="s">
        <v>597</v>
      </c>
      <c r="E4" s="670"/>
      <c r="F4" s="670"/>
      <c r="G4" s="659">
        <v>100000</v>
      </c>
      <c r="H4" s="659"/>
      <c r="I4" s="659"/>
      <c r="J4" s="368"/>
      <c r="K4" s="264"/>
      <c r="L4" s="265"/>
      <c r="M4" s="38"/>
      <c r="Q4" s="30"/>
      <c r="R4" s="674" t="s">
        <v>464</v>
      </c>
      <c r="S4" s="674"/>
      <c r="T4" s="300"/>
      <c r="U4" s="675" t="s">
        <v>485</v>
      </c>
      <c r="V4" s="675"/>
      <c r="W4" s="675"/>
      <c r="X4" s="675"/>
      <c r="Y4" s="675"/>
      <c r="Z4" s="254"/>
      <c r="AA4" t="str">
        <f>I12</f>
        <v>SL &amp; TP in Price</v>
      </c>
      <c r="AH4" t="s">
        <v>290</v>
      </c>
    </row>
    <row r="5" spans="1:47" ht="14.1" customHeight="1" x14ac:dyDescent="0.3">
      <c r="A5" s="244"/>
      <c r="B5" s="247"/>
      <c r="C5" s="261"/>
      <c r="D5" s="670"/>
      <c r="E5" s="670"/>
      <c r="F5" s="670"/>
      <c r="G5" s="659"/>
      <c r="H5" s="659"/>
      <c r="I5" s="659"/>
      <c r="J5" s="368"/>
      <c r="K5" s="266"/>
      <c r="L5" s="38"/>
      <c r="M5" s="269"/>
      <c r="Q5" s="30"/>
      <c r="R5" s="676" t="s">
        <v>484</v>
      </c>
      <c r="S5" s="677"/>
      <c r="T5" s="377"/>
      <c r="U5" s="678" t="str">
        <f>U13</f>
        <v>Target Price</v>
      </c>
      <c r="V5" s="678"/>
      <c r="W5" s="405"/>
      <c r="X5" s="678" t="str">
        <f>X13</f>
        <v>Stop-loss 
or Trail Stop</v>
      </c>
      <c r="Y5" s="679"/>
      <c r="Z5" s="254"/>
      <c r="AA5" t="str">
        <f>K12</f>
        <v>SL &amp; TP in %</v>
      </c>
      <c r="AH5" t="s">
        <v>171</v>
      </c>
      <c r="AI5" t="s">
        <v>172</v>
      </c>
      <c r="AJ5" t="s">
        <v>173</v>
      </c>
      <c r="AK5" t="s">
        <v>174</v>
      </c>
      <c r="AL5" t="s">
        <v>172</v>
      </c>
      <c r="AM5" t="s">
        <v>175</v>
      </c>
    </row>
    <row r="6" spans="1:47" ht="14.1" customHeight="1" x14ac:dyDescent="0.3">
      <c r="A6" s="244"/>
      <c r="B6" s="247"/>
      <c r="C6" s="261"/>
      <c r="D6" s="261"/>
      <c r="E6" s="38"/>
      <c r="F6" s="38"/>
      <c r="G6" s="38"/>
      <c r="H6" s="38"/>
      <c r="I6" s="263"/>
      <c r="J6" s="263"/>
      <c r="K6" s="266"/>
      <c r="L6" s="38"/>
      <c r="M6" s="269"/>
      <c r="Q6" s="268" t="s">
        <v>465</v>
      </c>
      <c r="R6" s="687">
        <f>IF(SUM(N15:N29)=0,"No Stock Position",SUM(N15:N29))</f>
        <v>70852</v>
      </c>
      <c r="S6" s="687"/>
      <c r="T6" s="375"/>
      <c r="U6" s="687">
        <f>R6</f>
        <v>70852</v>
      </c>
      <c r="V6" s="687"/>
      <c r="W6" s="376"/>
      <c r="X6" s="687">
        <f>R6</f>
        <v>70852</v>
      </c>
      <c r="Y6" s="687"/>
      <c r="Z6" s="254"/>
      <c r="AH6" t="str">
        <f>'User Guide &amp; Settings'!O5</f>
        <v>Commission</v>
      </c>
      <c r="AI6" t="str">
        <f>'User Guide &amp; Settings'!P5</f>
        <v>Amount</v>
      </c>
      <c r="AJ6">
        <f>'User Guide &amp; Settings'!Q5</f>
        <v>2.5000000000000001E-3</v>
      </c>
      <c r="AK6">
        <f>'User Guide &amp; Settings'!R5</f>
        <v>20</v>
      </c>
      <c r="AL6" t="str">
        <f>'User Guide &amp; Settings'!S5</f>
        <v>Amount</v>
      </c>
      <c r="AM6">
        <f>'User Guide &amp; Settings'!T5</f>
        <v>0</v>
      </c>
    </row>
    <row r="7" spans="1:47" ht="14.1" customHeight="1" x14ac:dyDescent="0.3">
      <c r="A7" s="244"/>
      <c r="B7" s="247"/>
      <c r="C7" s="261"/>
      <c r="D7" s="261"/>
      <c r="E7" s="38"/>
      <c r="F7" s="209" t="s">
        <v>493</v>
      </c>
      <c r="G7" s="302">
        <v>0.4</v>
      </c>
      <c r="H7" s="658">
        <f>G4*G7</f>
        <v>40000</v>
      </c>
      <c r="I7" s="658"/>
      <c r="J7" s="370"/>
      <c r="K7" s="30"/>
      <c r="L7" s="38"/>
      <c r="M7" s="269"/>
      <c r="Q7" s="268" t="s">
        <v>466</v>
      </c>
      <c r="R7" s="687">
        <f>SUM(Q15:Q29)</f>
        <v>72940.89</v>
      </c>
      <c r="S7" s="687"/>
      <c r="T7" s="375"/>
      <c r="U7" s="687">
        <f>IFERROR(U6+U8,0)</f>
        <v>95270.224400000006</v>
      </c>
      <c r="V7" s="687"/>
      <c r="W7" s="376"/>
      <c r="X7" s="687">
        <f>IFERROR(X6+X8,0)</f>
        <v>70270.224400000006</v>
      </c>
      <c r="Y7" s="687"/>
      <c r="Z7" s="297" t="s">
        <v>353</v>
      </c>
      <c r="AH7" t="str">
        <f>'User Guide &amp; Settings'!O6</f>
        <v>VAT</v>
      </c>
      <c r="AI7" t="str">
        <f>'User Guide &amp; Settings'!P6</f>
        <v>Amount</v>
      </c>
      <c r="AJ7">
        <f>'User Guide &amp; Settings'!Q6</f>
        <v>2.9999999999999997E-4</v>
      </c>
      <c r="AK7">
        <f>'User Guide &amp; Settings'!R6</f>
        <v>2.4</v>
      </c>
      <c r="AL7" t="str">
        <f>'User Guide &amp; Settings'!S6</f>
        <v>Amount</v>
      </c>
      <c r="AM7">
        <f>'User Guide &amp; Settings'!T6</f>
        <v>0</v>
      </c>
    </row>
    <row r="8" spans="1:47" ht="14.1" customHeight="1" x14ac:dyDescent="0.3">
      <c r="A8" s="244"/>
      <c r="B8" s="247"/>
      <c r="C8" s="261"/>
      <c r="D8" s="261"/>
      <c r="E8" s="38"/>
      <c r="F8" s="209" t="s">
        <v>494</v>
      </c>
      <c r="G8" s="301">
        <v>0.01</v>
      </c>
      <c r="H8" s="671">
        <f>G4*G8</f>
        <v>1000</v>
      </c>
      <c r="I8" s="671"/>
      <c r="J8" s="371"/>
      <c r="K8" s="30"/>
      <c r="L8" s="38"/>
      <c r="M8" s="269"/>
      <c r="Q8" s="268" t="s">
        <v>467</v>
      </c>
      <c r="R8" s="688">
        <f>IFERROR(SUM(AL15:AL29),0)</f>
        <v>2088.8899999999994</v>
      </c>
      <c r="S8" s="688"/>
      <c r="T8" s="267"/>
      <c r="U8" s="688">
        <f>SUM(AN15:AN29)</f>
        <v>24418.224399999999</v>
      </c>
      <c r="V8" s="688"/>
      <c r="W8" s="267"/>
      <c r="X8" s="688">
        <f>SUM(AP15:AP29)</f>
        <v>-581.77560000000085</v>
      </c>
      <c r="Y8" s="688"/>
      <c r="Z8" s="298" t="s">
        <v>469</v>
      </c>
      <c r="AH8" t="str">
        <f>'User Guide &amp; Settings'!O7</f>
        <v>Tax</v>
      </c>
      <c r="AI8" t="str">
        <f>'User Guide &amp; Settings'!P7</f>
        <v>Amount</v>
      </c>
      <c r="AJ8">
        <f>'User Guide &amp; Settings'!Q7</f>
        <v>1.5E-3</v>
      </c>
      <c r="AK8">
        <f>'User Guide &amp; Settings'!R7</f>
        <v>0</v>
      </c>
      <c r="AL8" t="str">
        <f>'User Guide &amp; Settings'!S7</f>
        <v>Amount</v>
      </c>
      <c r="AM8">
        <f>'User Guide &amp; Settings'!T7</f>
        <v>0</v>
      </c>
    </row>
    <row r="9" spans="1:47" ht="14.1" customHeight="1" x14ac:dyDescent="0.3">
      <c r="A9" s="244"/>
      <c r="B9" s="247"/>
      <c r="C9" s="261"/>
      <c r="D9" s="261"/>
      <c r="E9" s="38"/>
      <c r="F9" s="38"/>
      <c r="G9" s="38"/>
      <c r="H9" s="38"/>
      <c r="I9" s="263"/>
      <c r="J9" s="263"/>
      <c r="K9" s="303"/>
      <c r="L9" s="38"/>
      <c r="M9" s="269"/>
      <c r="Q9" s="268" t="s">
        <v>468</v>
      </c>
      <c r="R9" s="680">
        <f>IFERROR(R8/R6,0)</f>
        <v>2.948244227403601E-2</v>
      </c>
      <c r="S9" s="680"/>
      <c r="T9" s="267"/>
      <c r="U9" s="680">
        <f>IFERROR(U8/U6,0)</f>
        <v>0.34463705188279792</v>
      </c>
      <c r="V9" s="680"/>
      <c r="W9" s="267"/>
      <c r="X9" s="680">
        <f>IFERROR(X8/X6,0)</f>
        <v>-8.2111387116806985E-3</v>
      </c>
      <c r="Y9" s="680"/>
      <c r="Z9" s="299"/>
      <c r="AA9" t="s">
        <v>480</v>
      </c>
      <c r="AH9" t="str">
        <f>'User Guide &amp; Settings'!O8</f>
        <v>Sales Tax</v>
      </c>
      <c r="AI9" t="str">
        <f>'User Guide &amp; Settings'!P8</f>
        <v>Amount</v>
      </c>
      <c r="AJ9">
        <f>'User Guide &amp; Settings'!Q8</f>
        <v>6.0000000000000001E-3</v>
      </c>
      <c r="AK9">
        <f>'User Guide &amp; Settings'!R8</f>
        <v>0</v>
      </c>
      <c r="AL9" t="str">
        <f>'User Guide &amp; Settings'!S8</f>
        <v>Amount</v>
      </c>
      <c r="AM9">
        <f>'User Guide &amp; Settings'!T8</f>
        <v>0</v>
      </c>
    </row>
    <row r="10" spans="1:47" ht="14.1" customHeight="1" x14ac:dyDescent="0.3">
      <c r="A10" s="244"/>
      <c r="B10" s="247"/>
      <c r="C10" s="261"/>
      <c r="D10" s="261"/>
      <c r="E10" s="38"/>
      <c r="F10" s="262" t="s">
        <v>483</v>
      </c>
      <c r="G10" s="672">
        <f>IFERROR(G4-R6-R8,"")</f>
        <v>27059.11</v>
      </c>
      <c r="H10" s="672"/>
      <c r="I10" s="672"/>
      <c r="J10" s="369"/>
      <c r="K10" s="303"/>
      <c r="L10" s="38"/>
      <c r="M10" s="269"/>
      <c r="Q10" s="268" t="s">
        <v>470</v>
      </c>
      <c r="R10" s="673">
        <f>IFERROR(R7+G10,"")</f>
        <v>100000</v>
      </c>
      <c r="S10" s="673"/>
      <c r="T10" s="375"/>
      <c r="U10" s="673">
        <f>U7+G4</f>
        <v>195270.22440000001</v>
      </c>
      <c r="V10" s="673"/>
      <c r="W10" s="375"/>
      <c r="X10" s="673">
        <f>X7+G4</f>
        <v>170270.22440000001</v>
      </c>
      <c r="Y10" s="673"/>
      <c r="Z10" s="257"/>
      <c r="AA10" t="s">
        <v>481</v>
      </c>
    </row>
    <row r="11" spans="1:47" ht="12" customHeight="1" x14ac:dyDescent="0.3">
      <c r="A11" s="244"/>
      <c r="B11" s="243"/>
      <c r="C11" s="255"/>
      <c r="D11" s="255"/>
      <c r="E11" s="258"/>
      <c r="F11" s="209"/>
      <c r="G11" s="258"/>
      <c r="H11" s="258"/>
      <c r="I11" s="258"/>
      <c r="J11" s="258"/>
      <c r="K11" s="258"/>
      <c r="L11" s="259"/>
      <c r="M11" s="30"/>
      <c r="Q11" s="30"/>
      <c r="R11" s="260"/>
      <c r="S11" s="260"/>
      <c r="T11" s="30"/>
      <c r="U11" s="260"/>
      <c r="V11" s="260"/>
      <c r="W11" s="30"/>
      <c r="X11" s="260"/>
      <c r="Y11" s="260"/>
      <c r="Z11" s="257"/>
      <c r="AA11" t="s">
        <v>145</v>
      </c>
    </row>
    <row r="12" spans="1:47" ht="20.100000000000001" customHeight="1" x14ac:dyDescent="0.25">
      <c r="A12" s="248"/>
      <c r="B12" s="249"/>
      <c r="C12" s="270"/>
      <c r="D12" s="270"/>
      <c r="E12" s="667" t="s">
        <v>486</v>
      </c>
      <c r="F12" s="667"/>
      <c r="G12" s="667"/>
      <c r="H12" s="667"/>
      <c r="I12" s="668" t="s">
        <v>471</v>
      </c>
      <c r="J12" s="668"/>
      <c r="K12" s="669" t="s">
        <v>472</v>
      </c>
      <c r="L12" s="669"/>
      <c r="N12" s="306" t="s">
        <v>491</v>
      </c>
      <c r="O12" s="306"/>
      <c r="P12" s="306"/>
      <c r="Q12" s="663" t="s">
        <v>595</v>
      </c>
      <c r="R12" s="663"/>
      <c r="S12" s="663"/>
      <c r="T12" s="294"/>
      <c r="U12" s="684" t="s">
        <v>596</v>
      </c>
      <c r="V12" s="684"/>
      <c r="W12" s="294"/>
      <c r="X12" s="685" t="s">
        <v>594</v>
      </c>
      <c r="Y12" s="686"/>
      <c r="Z12" s="305"/>
      <c r="AA12" t="s">
        <v>594</v>
      </c>
      <c r="AB12" t="s">
        <v>473</v>
      </c>
    </row>
    <row r="13" spans="1:47" ht="15" customHeight="1" thickBot="1" x14ac:dyDescent="0.3">
      <c r="A13" s="248"/>
      <c r="B13" s="246"/>
      <c r="C13" s="689" t="s">
        <v>459</v>
      </c>
      <c r="D13" s="693" t="s">
        <v>490</v>
      </c>
      <c r="E13" s="691" t="s">
        <v>487</v>
      </c>
      <c r="F13" s="693" t="s">
        <v>492</v>
      </c>
      <c r="G13" s="693" t="s">
        <v>488</v>
      </c>
      <c r="H13" s="661" t="s">
        <v>287</v>
      </c>
      <c r="I13" s="665" t="s">
        <v>482</v>
      </c>
      <c r="J13" s="666" t="s">
        <v>474</v>
      </c>
      <c r="K13" s="364" t="s">
        <v>475</v>
      </c>
      <c r="L13" s="365" t="s">
        <v>476</v>
      </c>
      <c r="Q13" s="664" t="s">
        <v>464</v>
      </c>
      <c r="R13" s="664"/>
      <c r="S13" s="664"/>
      <c r="U13" s="681" t="s">
        <v>474</v>
      </c>
      <c r="V13" s="682"/>
      <c r="W13" s="304"/>
      <c r="X13" s="683" t="s">
        <v>482</v>
      </c>
      <c r="Y13" s="681"/>
      <c r="Z13" s="305"/>
      <c r="AA13" t="s">
        <v>477</v>
      </c>
    </row>
    <row r="14" spans="1:47" ht="15" customHeight="1" x14ac:dyDescent="0.25">
      <c r="A14" s="248"/>
      <c r="B14" s="246"/>
      <c r="C14" s="690"/>
      <c r="D14" s="694"/>
      <c r="E14" s="692"/>
      <c r="F14" s="694"/>
      <c r="G14" s="694"/>
      <c r="H14" s="662"/>
      <c r="I14" s="665"/>
      <c r="J14" s="666"/>
      <c r="K14" s="366">
        <v>-0.05</v>
      </c>
      <c r="L14" s="367">
        <v>0.2</v>
      </c>
      <c r="Q14" s="372" t="s">
        <v>489</v>
      </c>
      <c r="R14" s="373" t="s">
        <v>655</v>
      </c>
      <c r="S14" s="374" t="s">
        <v>654</v>
      </c>
      <c r="T14" s="250"/>
      <c r="U14" s="681"/>
      <c r="V14" s="682"/>
      <c r="W14" s="304"/>
      <c r="X14" s="683"/>
      <c r="Y14" s="681"/>
      <c r="Z14" s="305"/>
      <c r="AA14" t="s">
        <v>478</v>
      </c>
      <c r="AB14" t="s">
        <v>479</v>
      </c>
    </row>
    <row r="15" spans="1:47" ht="25.5" customHeight="1" x14ac:dyDescent="0.25">
      <c r="A15" s="378"/>
      <c r="B15" s="379"/>
      <c r="C15" s="380">
        <v>1</v>
      </c>
      <c r="D15" s="407" t="s">
        <v>480</v>
      </c>
      <c r="E15" s="381" t="s">
        <v>397</v>
      </c>
      <c r="F15" s="517">
        <v>15000</v>
      </c>
      <c r="G15" s="506">
        <v>2.556</v>
      </c>
      <c r="H15" s="383">
        <v>2.74</v>
      </c>
      <c r="I15" s="384">
        <v>2.6</v>
      </c>
      <c r="J15" s="385">
        <v>4</v>
      </c>
      <c r="K15" s="386">
        <f t="shared" ref="K15:K16" si="0">IFERROR(IF(AD15="L",((N15+AU15)/F15)*(1+$K$14),((N15+SUM(AQ15:AS15))/F15)*(1-$K$14)),"")</f>
        <v>2.4532104600000002</v>
      </c>
      <c r="L15" s="387">
        <f t="shared" ref="L15:L16" si="1">IFERROR(IF(AD15="L",((N15+AU15)/F15)*(1+$L$14),((N15+SUM(AQ15:AS15))/F15)*(1-$L$14)),"")</f>
        <v>3.0987921599999999</v>
      </c>
      <c r="N15" s="382">
        <f t="shared" ref="N15:N16" si="2">G15*F15</f>
        <v>38340</v>
      </c>
      <c r="O15" s="382">
        <f>IFERROR(INDEX(Sheet1!$E$2:$E$390,MATCH(E15,Sheet1!$B$2:$B$390,0)),"")</f>
        <v>2.7</v>
      </c>
      <c r="P15" s="382">
        <f t="shared" ref="P15:P16" si="3">H15*F15</f>
        <v>41100</v>
      </c>
      <c r="Q15" s="523">
        <f t="shared" ref="Q15:Q16" si="4">IF(F15=0,"",IF((H15=""),"Update Price",P15-AJ15))</f>
        <v>40676.67</v>
      </c>
      <c r="R15" s="520" t="str">
        <f t="shared" ref="R15:R16" si="5">IFERROR(IF($X$12="R-Multiple",AK15,AL15),"")</f>
        <v>2.34R</v>
      </c>
      <c r="S15" s="388">
        <f t="shared" ref="S15:S16" si="6">IFERROR((AL15/N15),"")</f>
        <v>6.0946009389671318E-2</v>
      </c>
      <c r="T15" s="389"/>
      <c r="U15" s="521" t="str">
        <f t="shared" ref="U15:U16" si="7">IFERROR(IF($X$12="R-Multiple",AM15,AN15),"")</f>
        <v>21.27R</v>
      </c>
      <c r="V15" s="390">
        <f t="shared" ref="V15:V16" si="8">IFERROR(AN15/N15,"")</f>
        <v>0.55464522691705787</v>
      </c>
      <c r="W15" s="391"/>
      <c r="X15" s="520" t="str">
        <f t="shared" ref="X15:X16" si="9">IFERROR(IF($X$12="R-Multiple",AO15,AP15),"")</f>
        <v>0.27R</v>
      </c>
      <c r="Y15" s="392">
        <f t="shared" ref="Y15:Y16" si="10">IFERROR(AP15/N15,"")</f>
        <v>6.9143974960875886E-3</v>
      </c>
      <c r="Z15" s="406">
        <f t="shared" ref="Z15:Z16" si="11">AL15</f>
        <v>2336.6699999999983</v>
      </c>
      <c r="AA15">
        <f t="shared" ref="AA15:AA16" si="12">IF($U$13=$K$13,K15,IF($U$13=$L$13,L15,IF($U$13=$I$13,I15,IF($U$13=$J$13,J15,0))))</f>
        <v>4</v>
      </c>
      <c r="AB15">
        <f t="shared" ref="AB15:AB16" si="13">IF($X$13=$K$13,K15,IF($X$13=$L$13,L15,IF($X$13=$I$13,I15,IF($X$13=$J$13,J15,0))))</f>
        <v>2.6</v>
      </c>
      <c r="AD15" t="str">
        <f t="shared" ref="AD15:AD16" si="14">IF(D15="SHORT","s","L")</f>
        <v>L</v>
      </c>
      <c r="AF15">
        <f t="shared" ref="AF15:AF16" si="15">IF(F15="","",IF(IF($AL$6="Amount",$AM$6*P15,IF($AL$6="Total Shares",$AM$6*F15,$AM$6))=0,MAX(IF($AI$6="amount",(P15*$AJ$6),IF($AI$6="Total Shares",($AJ$6*F15),$AJ$6)),$AK$6),MIN(IF($AL$6="Amount",$AM$6*P15,IF($AL$6="Total Shares",$AM$6*F15,$AM$6)),MAX(IF($AI$6="amount",(P15*$AJ$6),IF($AI$6="Total Shares",($AJ$6*F15),$AJ$6)),$AK$6))))</f>
        <v>102.75</v>
      </c>
      <c r="AG15">
        <f t="shared" ref="AG15:AG16" si="16">IF(F15="","",IF(IF($AL$7="Amount",$AM$7*P15,IF($AL$7="Total Shares",$AM$7*F15,$AM$7))=0,MAX(IF($AI$7="amount",(P15*$AJ$7),IF($AI$7="Total Shares",($AJ$7*F15),$AJ$7)),$AK$7),MIN(IF($AL$7="Amount",$AM$7*P15,IF($AL$7="Total Shares",$AM$7*F15,$AM$7)),MAX(IF($AI$7="amount",(P15*$AJ$7),IF($AI$7="Total Shares",($AJ$7*F15),$AJ$7)),$AK$7))))</f>
        <v>12.329999999999998</v>
      </c>
      <c r="AH15">
        <f t="shared" ref="AH15:AH16" si="17">IF(IF($AL$8="Amount",$AM$8*P15,IF($AL$8="Total Shares",$AM$8*F15,$AM$8))=0,MAX(IF($AI$8="amount",(P15*$AJ$8),IF($AI$8="Total Shares",($AJ$8*F15),$AJ$8)),$AK$8),MIN(IF($AL$8="Amount",$AM$8*P15,IF($AL$8="Total Shares",$AM$8*F15,$AM$8)),MAX(IF($AI$8="amount",(P15*$AJ$8),IF($AI$8="Total Shares",($AJ$8*F15),$AJ$8)),$AK$8)))</f>
        <v>61.65</v>
      </c>
      <c r="AI15">
        <f t="shared" ref="AI15:AI16" si="18">IF(IF($AL$9="Amount",$AM$9*P15,IF($AL$9="Total Shares",$AM$9*F15,$AM$9))=0,MAX(IF($AI$9="amount",(P15*$AJ$9),IF($AI$9="Total Shares",($AJ$9*F15),$AJ$9)),$AK$9),MIN(IF($AL$9="Amount",$AM$9*P15,IF($AL$9="Total Shares",$AM$9*F15,$AM$9)),MAX(IF($AI$9="amount",(P15*$AJ$9),IF($AI$9="Total Shares",($AJ$9*F15),$AJ$9)),$AK$9)))</f>
        <v>246.6</v>
      </c>
      <c r="AJ15">
        <f>SUM(AF15:AI15)</f>
        <v>423.33</v>
      </c>
      <c r="AK15" t="str">
        <f t="shared" ref="AK15:AK16" si="19">TEXT((AL15/$H$8),"0.00R")</f>
        <v>2.34R</v>
      </c>
      <c r="AL15">
        <f t="shared" ref="AL15:AL16" si="20">IF(N15=0,"",IF(AD15="L",Q15-N15,(N15-Q15)-AI15))</f>
        <v>2336.6699999999983</v>
      </c>
      <c r="AM15" t="str">
        <f t="shared" ref="AM15:AM16" si="21">TEXT((AN15/$H$8),"0.00R")</f>
        <v>21.27R</v>
      </c>
      <c r="AN15">
        <f t="shared" ref="AN15:AN16" si="22">IF(N15=0,"",IF(AD15="L",(((AA15*F15)-AU15)-N15),(N15-((AA15*F15)-AT15))))</f>
        <v>21265.097999999998</v>
      </c>
      <c r="AO15" t="str">
        <f>IF(AN15="","",TEXT((AP15/$H$8),"0.00R"))</f>
        <v>0.27R</v>
      </c>
      <c r="AP15">
        <f t="shared" ref="AP15:AP16" si="23">IF(AB15=0,"",IFERROR(IF(AD15="L",(((AB15*F15)-AU15)-N15),(N15-((AB15*F15)-AT15))),""))</f>
        <v>265.09799999999814</v>
      </c>
      <c r="AQ15">
        <f t="shared" ref="AQ15:AQ16" si="24">IF(F15="","",IF(IF($AL$6="Amount",$AM$6*N15,IF($AL$6="Total Shares",$AM$6*F15,$AM$6))=0,MAX(IF($AI$6="amount",(N15*$AJ$6),IF($AI$6="Total Shares",($AJ$6*F15),$AJ$6)),$AK$6),MIN(IF($AL$6="Amount",$AM$6*N15,IF($AL$6="Total Shares",$AM$6*F15,$AM$6)),MAX(IF($AI$6="amount",(N15*$AJ$6),IF($AI$6="Total Shares",($AJ$6*F15),$AJ$6)),$AK$6))))</f>
        <v>95.850000000000009</v>
      </c>
      <c r="AR15">
        <f t="shared" ref="AR15:AR16" si="25">IF(F15="","",IF(IF($AL$7="Amount",$AM$7*N15,IF($AL$7="Total Shares",$AM$7*F15,$AM$7))=0,MAX(IF($AI$7="amount",(N15*$AJ$7),IF($AI$7="Total Shares",($AJ$7*F15),$AJ$7)),$AK$7),MIN(IF($AL$7="Amount",$AM$7*N15,IF($AL$7="Total Shares",$AM$7*F15,$AM$7)),MAX(IF($AI$7="amount",(N15*$AJ$7),IF($AI$7="Total Shares",($AJ$7*F15),$AJ$7)),$AK$7))))</f>
        <v>11.501999999999999</v>
      </c>
      <c r="AS15">
        <f t="shared" ref="AS15:AS16" si="26">IF(IF($AL$8="Amount",$AM$8*N15,IF($AL$8="Total Shares",$AM$8*F15,$AM$8))=0,MAX(IF($AI$8="amount",(N15*$AJ$8),IF($AI$8="Total Shares",($AJ$8*F15),$AJ$8)),$AK$8),MIN(IF($AL$8="Amount",$AM$8*N15,IF($AL$8="Total Shares",$AM$8*F15,$AM$8)),MAX(IF($AI$8="amount",(N15*$AJ$8),IF($AI$8="Total Shares",($AJ$8*F15),$AJ$8)),$AK$8)))</f>
        <v>57.51</v>
      </c>
      <c r="AT15">
        <f t="shared" ref="AT15:AT16" si="27">IF(IF($AL$9="Amount",$AM$9*N15,IF($AL$9="Total Shares",$AM$9*F15,$AM$9))=0,MAX(IF($AI$9="amount",(N15*$AJ$9),IF($AI$9="Total Shares",($AJ$9*F15),$AJ$9)),$AK$9),MIN(IF($AL$9="Amount",$AM$9*N15,IF($AL$9="Total Shares",$AM$9*F15,$AM$9)),MAX(IF($AI$9="amount",(N15*$AJ$9),IF($AI$9="Total Shares",($AJ$9*F15),$AJ$9)),$AK$9)))</f>
        <v>230.04</v>
      </c>
      <c r="AU15">
        <f>SUM(AQ15:AT15)</f>
        <v>394.90199999999999</v>
      </c>
    </row>
    <row r="16" spans="1:47" ht="25.5" customHeight="1" x14ac:dyDescent="0.25">
      <c r="A16" s="378"/>
      <c r="B16" s="379"/>
      <c r="C16" s="393">
        <f>C15+1</f>
        <v>2</v>
      </c>
      <c r="D16" s="408" t="s">
        <v>480</v>
      </c>
      <c r="E16" s="394" t="s">
        <v>53</v>
      </c>
      <c r="F16" s="518">
        <v>2000</v>
      </c>
      <c r="G16" s="507">
        <v>16.256</v>
      </c>
      <c r="H16" s="395">
        <v>16.3</v>
      </c>
      <c r="I16" s="396">
        <v>16</v>
      </c>
      <c r="J16" s="397">
        <v>18</v>
      </c>
      <c r="K16" s="398">
        <f t="shared" si="0"/>
        <v>15.602264959999999</v>
      </c>
      <c r="L16" s="399">
        <f t="shared" si="1"/>
        <v>19.708124160000001</v>
      </c>
      <c r="N16" s="382">
        <f t="shared" si="2"/>
        <v>32512</v>
      </c>
      <c r="O16" s="382">
        <f>IFERROR(INDEX(Sheet1!$E$2:$E$390,MATCH(E16,Sheet1!$B$2:$B$390,0)),"")</f>
        <v>16.3</v>
      </c>
      <c r="P16" s="382">
        <f t="shared" si="3"/>
        <v>32600</v>
      </c>
      <c r="Q16" s="524">
        <f t="shared" si="4"/>
        <v>32264.22</v>
      </c>
      <c r="R16" s="519" t="str">
        <f t="shared" si="5"/>
        <v>-0.25R</v>
      </c>
      <c r="S16" s="400">
        <f t="shared" si="6"/>
        <v>-7.6211860236220117E-3</v>
      </c>
      <c r="T16" s="401"/>
      <c r="U16" s="522" t="str">
        <f t="shared" si="7"/>
        <v>3.15R</v>
      </c>
      <c r="V16" s="402">
        <f t="shared" si="8"/>
        <v>9.6983464566929162E-2</v>
      </c>
      <c r="W16" s="403"/>
      <c r="X16" s="519" t="str">
        <f t="shared" si="9"/>
        <v>-0.85R</v>
      </c>
      <c r="Y16" s="404">
        <f t="shared" si="10"/>
        <v>-2.6048031496062961E-2</v>
      </c>
      <c r="Z16" s="406">
        <f t="shared" si="11"/>
        <v>-247.77999999999884</v>
      </c>
      <c r="AA16">
        <f t="shared" si="12"/>
        <v>18</v>
      </c>
      <c r="AB16">
        <f t="shared" si="13"/>
        <v>16</v>
      </c>
      <c r="AD16" t="str">
        <f t="shared" si="14"/>
        <v>L</v>
      </c>
      <c r="AF16">
        <f t="shared" si="15"/>
        <v>81.5</v>
      </c>
      <c r="AG16">
        <f t="shared" si="16"/>
        <v>9.7799999999999994</v>
      </c>
      <c r="AH16">
        <f t="shared" si="17"/>
        <v>48.9</v>
      </c>
      <c r="AI16">
        <f t="shared" si="18"/>
        <v>195.6</v>
      </c>
      <c r="AJ16">
        <f>SUM(AF16:AI16)</f>
        <v>335.78</v>
      </c>
      <c r="AK16" t="str">
        <f t="shared" si="19"/>
        <v>-0.25R</v>
      </c>
      <c r="AL16">
        <f t="shared" si="20"/>
        <v>-247.77999999999884</v>
      </c>
      <c r="AM16" t="str">
        <f t="shared" si="21"/>
        <v>3.15R</v>
      </c>
      <c r="AN16">
        <f t="shared" si="22"/>
        <v>3153.126400000001</v>
      </c>
      <c r="AO16" t="str">
        <f>IF(AN16="","",TEXT((AP16/$H$8),"0.00R"))</f>
        <v>-0.85R</v>
      </c>
      <c r="AP16">
        <f t="shared" si="23"/>
        <v>-846.87359999999899</v>
      </c>
      <c r="AQ16">
        <f t="shared" si="24"/>
        <v>81.28</v>
      </c>
      <c r="AR16">
        <f t="shared" si="25"/>
        <v>9.7535999999999987</v>
      </c>
      <c r="AS16">
        <f t="shared" si="26"/>
        <v>48.768000000000001</v>
      </c>
      <c r="AT16">
        <f t="shared" si="27"/>
        <v>195.072</v>
      </c>
      <c r="AU16">
        <f t="shared" ref="AU16" si="28">SUM(AQ16:AT16)</f>
        <v>334.87360000000001</v>
      </c>
    </row>
    <row r="17" spans="1:26" ht="25.5" customHeight="1" x14ac:dyDescent="0.25">
      <c r="A17" s="378"/>
      <c r="B17" s="379"/>
      <c r="C17" s="393"/>
      <c r="D17" s="408"/>
      <c r="E17" s="394"/>
      <c r="F17" s="518"/>
      <c r="G17" s="507"/>
      <c r="H17" s="395"/>
      <c r="I17" s="396"/>
      <c r="J17" s="397"/>
      <c r="K17" s="398"/>
      <c r="L17" s="399"/>
      <c r="N17" s="382"/>
      <c r="O17" s="382"/>
      <c r="P17" s="382"/>
      <c r="Q17" s="524"/>
      <c r="R17" s="519"/>
      <c r="S17" s="400"/>
      <c r="T17" s="401"/>
      <c r="U17" s="522"/>
      <c r="V17" s="402"/>
      <c r="W17" s="403"/>
      <c r="X17" s="519"/>
      <c r="Y17" s="404"/>
      <c r="Z17" s="406"/>
    </row>
    <row r="18" spans="1:26" ht="25.5" customHeight="1" x14ac:dyDescent="0.25">
      <c r="A18" s="378"/>
      <c r="B18" s="379"/>
      <c r="C18" s="393"/>
      <c r="D18" s="408"/>
      <c r="E18" s="394"/>
      <c r="F18" s="518"/>
      <c r="G18" s="507"/>
      <c r="H18" s="395"/>
      <c r="I18" s="396"/>
      <c r="J18" s="397"/>
      <c r="K18" s="398"/>
      <c r="L18" s="399"/>
      <c r="N18" s="382"/>
      <c r="O18" s="382"/>
      <c r="P18" s="382"/>
      <c r="Q18" s="524"/>
      <c r="R18" s="519"/>
      <c r="S18" s="400"/>
      <c r="T18" s="401"/>
      <c r="U18" s="522"/>
      <c r="V18" s="402"/>
      <c r="W18" s="403"/>
      <c r="X18" s="519"/>
      <c r="Y18" s="404"/>
      <c r="Z18" s="406"/>
    </row>
    <row r="19" spans="1:26" ht="25.5" customHeight="1" x14ac:dyDescent="0.25">
      <c r="A19" s="378"/>
      <c r="B19" s="379"/>
      <c r="C19" s="393"/>
      <c r="D19" s="408"/>
      <c r="E19" s="394"/>
      <c r="F19" s="518"/>
      <c r="G19" s="507"/>
      <c r="H19" s="395"/>
      <c r="I19" s="396"/>
      <c r="J19" s="397"/>
      <c r="K19" s="398"/>
      <c r="L19" s="399"/>
      <c r="N19" s="382"/>
      <c r="O19" s="382"/>
      <c r="P19" s="382"/>
      <c r="Q19" s="524"/>
      <c r="R19" s="519"/>
      <c r="S19" s="400"/>
      <c r="T19" s="401"/>
      <c r="U19" s="522"/>
      <c r="V19" s="402"/>
      <c r="W19" s="403"/>
      <c r="X19" s="519"/>
      <c r="Y19" s="404"/>
      <c r="Z19" s="406"/>
    </row>
    <row r="20" spans="1:26" ht="25.5" customHeight="1" x14ac:dyDescent="0.25">
      <c r="A20" s="378"/>
      <c r="B20" s="379"/>
      <c r="C20" s="393"/>
      <c r="D20" s="408"/>
      <c r="E20" s="394"/>
      <c r="F20" s="518"/>
      <c r="G20" s="507"/>
      <c r="H20" s="395"/>
      <c r="I20" s="396"/>
      <c r="J20" s="397"/>
      <c r="K20" s="398"/>
      <c r="L20" s="399"/>
      <c r="N20" s="382"/>
      <c r="O20" s="382"/>
      <c r="P20" s="382"/>
      <c r="Q20" s="524"/>
      <c r="R20" s="519"/>
      <c r="S20" s="400"/>
      <c r="T20" s="401"/>
      <c r="U20" s="522"/>
      <c r="V20" s="402"/>
      <c r="W20" s="403"/>
      <c r="X20" s="519"/>
      <c r="Y20" s="404"/>
      <c r="Z20" s="406"/>
    </row>
    <row r="21" spans="1:26" ht="25.5" customHeight="1" x14ac:dyDescent="0.25">
      <c r="A21" s="378"/>
      <c r="B21" s="379"/>
      <c r="C21" s="393"/>
      <c r="D21" s="408"/>
      <c r="E21" s="394"/>
      <c r="F21" s="518"/>
      <c r="G21" s="507"/>
      <c r="H21" s="395"/>
      <c r="I21" s="396"/>
      <c r="J21" s="397"/>
      <c r="K21" s="398"/>
      <c r="L21" s="399"/>
      <c r="N21" s="382"/>
      <c r="O21" s="382"/>
      <c r="P21" s="382"/>
      <c r="Q21" s="524"/>
      <c r="R21" s="519"/>
      <c r="S21" s="400"/>
      <c r="T21" s="401"/>
      <c r="U21" s="522"/>
      <c r="V21" s="402"/>
      <c r="W21" s="403"/>
      <c r="X21" s="519"/>
      <c r="Y21" s="404"/>
      <c r="Z21" s="406"/>
    </row>
    <row r="22" spans="1:26" ht="25.5" customHeight="1" x14ac:dyDescent="0.25">
      <c r="A22" s="378"/>
      <c r="B22" s="379"/>
      <c r="C22" s="393"/>
      <c r="D22" s="408"/>
      <c r="E22" s="394"/>
      <c r="F22" s="518"/>
      <c r="G22" s="507"/>
      <c r="H22" s="395"/>
      <c r="I22" s="396"/>
      <c r="J22" s="397"/>
      <c r="K22" s="398"/>
      <c r="L22" s="399"/>
      <c r="N22" s="382"/>
      <c r="O22" s="382"/>
      <c r="P22" s="382"/>
      <c r="Q22" s="524"/>
      <c r="R22" s="519"/>
      <c r="S22" s="400"/>
      <c r="T22" s="401"/>
      <c r="U22" s="522"/>
      <c r="V22" s="402"/>
      <c r="W22" s="403"/>
      <c r="X22" s="519"/>
      <c r="Y22" s="404"/>
      <c r="Z22" s="406"/>
    </row>
    <row r="23" spans="1:26" ht="25.5" customHeight="1" x14ac:dyDescent="0.25">
      <c r="A23" s="378"/>
      <c r="B23" s="379"/>
      <c r="C23" s="393"/>
      <c r="D23" s="408"/>
      <c r="E23" s="394"/>
      <c r="F23" s="518"/>
      <c r="G23" s="507"/>
      <c r="H23" s="395"/>
      <c r="I23" s="396"/>
      <c r="J23" s="397"/>
      <c r="K23" s="398"/>
      <c r="L23" s="399"/>
      <c r="N23" s="382"/>
      <c r="O23" s="382"/>
      <c r="P23" s="382"/>
      <c r="Q23" s="524"/>
      <c r="R23" s="519"/>
      <c r="S23" s="400"/>
      <c r="T23" s="401"/>
      <c r="U23" s="522"/>
      <c r="V23" s="402"/>
      <c r="W23" s="403"/>
      <c r="X23" s="519"/>
      <c r="Y23" s="404"/>
      <c r="Z23" s="406"/>
    </row>
    <row r="24" spans="1:26" ht="25.5" customHeight="1" x14ac:dyDescent="0.25">
      <c r="A24" s="378"/>
      <c r="B24" s="379"/>
      <c r="C24" s="393"/>
      <c r="D24" s="408"/>
      <c r="E24" s="394"/>
      <c r="F24" s="518"/>
      <c r="G24" s="507"/>
      <c r="H24" s="395"/>
      <c r="I24" s="396"/>
      <c r="J24" s="397"/>
      <c r="K24" s="398"/>
      <c r="L24" s="399"/>
      <c r="N24" s="382"/>
      <c r="O24" s="382"/>
      <c r="P24" s="382"/>
      <c r="Q24" s="524"/>
      <c r="R24" s="519"/>
      <c r="S24" s="400"/>
      <c r="T24" s="401"/>
      <c r="U24" s="522"/>
      <c r="V24" s="402"/>
      <c r="W24" s="403"/>
      <c r="X24" s="519"/>
      <c r="Y24" s="404"/>
      <c r="Z24" s="406"/>
    </row>
    <row r="25" spans="1:26" ht="25.5" customHeight="1" x14ac:dyDescent="0.25">
      <c r="A25" s="378"/>
      <c r="B25" s="379"/>
      <c r="C25" s="393"/>
      <c r="D25" s="408"/>
      <c r="E25" s="394"/>
      <c r="F25" s="518"/>
      <c r="G25" s="507"/>
      <c r="H25" s="395"/>
      <c r="I25" s="396"/>
      <c r="J25" s="397"/>
      <c r="K25" s="398"/>
      <c r="L25" s="399"/>
      <c r="N25" s="382"/>
      <c r="O25" s="382"/>
      <c r="P25" s="382"/>
      <c r="Q25" s="524"/>
      <c r="R25" s="519"/>
      <c r="S25" s="400"/>
      <c r="T25" s="401"/>
      <c r="U25" s="522"/>
      <c r="V25" s="402"/>
      <c r="W25" s="403"/>
      <c r="X25" s="519"/>
      <c r="Y25" s="404"/>
      <c r="Z25" s="406"/>
    </row>
    <row r="26" spans="1:26" ht="25.5" customHeight="1" x14ac:dyDescent="0.25">
      <c r="A26" s="378"/>
      <c r="B26" s="379"/>
      <c r="C26" s="393"/>
      <c r="D26" s="408"/>
      <c r="E26" s="394"/>
      <c r="F26" s="518"/>
      <c r="G26" s="507"/>
      <c r="H26" s="395"/>
      <c r="I26" s="396"/>
      <c r="J26" s="397"/>
      <c r="K26" s="398"/>
      <c r="L26" s="399"/>
      <c r="N26" s="382"/>
      <c r="O26" s="382"/>
      <c r="P26" s="382"/>
      <c r="Q26" s="524"/>
      <c r="R26" s="519"/>
      <c r="S26" s="400"/>
      <c r="T26" s="401"/>
      <c r="U26" s="522"/>
      <c r="V26" s="402"/>
      <c r="W26" s="403"/>
      <c r="X26" s="519"/>
      <c r="Y26" s="404"/>
      <c r="Z26" s="406"/>
    </row>
    <row r="27" spans="1:26" ht="25.5" customHeight="1" x14ac:dyDescent="0.25">
      <c r="A27" s="378"/>
      <c r="B27" s="379"/>
      <c r="C27" s="393"/>
      <c r="D27" s="408"/>
      <c r="E27" s="394"/>
      <c r="F27" s="518"/>
      <c r="G27" s="507"/>
      <c r="H27" s="395"/>
      <c r="I27" s="396"/>
      <c r="J27" s="397"/>
      <c r="K27" s="398"/>
      <c r="L27" s="399"/>
      <c r="N27" s="382"/>
      <c r="O27" s="382"/>
      <c r="P27" s="382"/>
      <c r="Q27" s="524"/>
      <c r="R27" s="519"/>
      <c r="S27" s="400"/>
      <c r="T27" s="401"/>
      <c r="U27" s="522"/>
      <c r="V27" s="402"/>
      <c r="W27" s="403"/>
      <c r="X27" s="519"/>
      <c r="Y27" s="404"/>
      <c r="Z27" s="406"/>
    </row>
    <row r="28" spans="1:26" ht="25.5" customHeight="1" x14ac:dyDescent="0.25">
      <c r="A28" s="378"/>
      <c r="B28" s="379"/>
      <c r="C28" s="393"/>
      <c r="D28" s="408"/>
      <c r="E28" s="394"/>
      <c r="F28" s="518"/>
      <c r="G28" s="507"/>
      <c r="H28" s="395"/>
      <c r="I28" s="396"/>
      <c r="J28" s="397"/>
      <c r="K28" s="398"/>
      <c r="L28" s="399"/>
      <c r="N28" s="382"/>
      <c r="O28" s="382"/>
      <c r="P28" s="382"/>
      <c r="Q28" s="524"/>
      <c r="R28" s="519"/>
      <c r="S28" s="400"/>
      <c r="T28" s="401"/>
      <c r="U28" s="522"/>
      <c r="V28" s="402"/>
      <c r="W28" s="403"/>
      <c r="X28" s="519"/>
      <c r="Y28" s="404"/>
      <c r="Z28" s="406"/>
    </row>
    <row r="29" spans="1:26" ht="25.5" customHeight="1" x14ac:dyDescent="0.25">
      <c r="A29" s="378"/>
      <c r="B29" s="379"/>
      <c r="C29" s="393"/>
      <c r="D29" s="408"/>
      <c r="E29" s="394"/>
      <c r="F29" s="518"/>
      <c r="G29" s="507"/>
      <c r="H29" s="395"/>
      <c r="I29" s="396"/>
      <c r="J29" s="397"/>
      <c r="K29" s="398"/>
      <c r="L29" s="399"/>
      <c r="N29" s="382"/>
      <c r="O29" s="382"/>
      <c r="P29" s="382"/>
      <c r="Q29" s="524"/>
      <c r="R29" s="519"/>
      <c r="S29" s="400"/>
      <c r="T29" s="401"/>
      <c r="U29" s="522"/>
      <c r="V29" s="402"/>
      <c r="W29" s="403"/>
      <c r="X29" s="519"/>
      <c r="Y29" s="404"/>
      <c r="Z29" s="406"/>
    </row>
    <row r="30" spans="1:26" ht="25.5" customHeight="1" x14ac:dyDescent="0.25">
      <c r="A30" s="378"/>
      <c r="B30" s="379"/>
      <c r="C30" s="393"/>
      <c r="D30" s="408"/>
      <c r="E30" s="394"/>
      <c r="F30" s="518"/>
      <c r="G30" s="507"/>
      <c r="H30" s="395"/>
      <c r="I30" s="396"/>
      <c r="J30" s="397"/>
      <c r="K30" s="398"/>
      <c r="L30" s="399"/>
      <c r="N30" s="382"/>
      <c r="O30" s="382"/>
      <c r="P30" s="382"/>
      <c r="Q30" s="524"/>
      <c r="R30" s="519"/>
      <c r="S30" s="400"/>
      <c r="T30" s="401"/>
      <c r="U30" s="522"/>
      <c r="V30" s="402"/>
      <c r="W30" s="403"/>
      <c r="X30" s="519"/>
      <c r="Y30" s="404"/>
      <c r="Z30" s="406"/>
    </row>
    <row r="31" spans="1:26" ht="25.5" customHeight="1" x14ac:dyDescent="0.25">
      <c r="A31" s="378"/>
      <c r="B31" s="379"/>
      <c r="C31" s="393"/>
      <c r="D31" s="408"/>
      <c r="E31" s="394"/>
      <c r="F31" s="518"/>
      <c r="G31" s="507"/>
      <c r="H31" s="395"/>
      <c r="I31" s="396"/>
      <c r="J31" s="397"/>
      <c r="K31" s="398"/>
      <c r="L31" s="399"/>
      <c r="N31" s="382"/>
      <c r="O31" s="382"/>
      <c r="P31" s="382"/>
      <c r="Q31" s="524"/>
      <c r="R31" s="519"/>
      <c r="S31" s="400"/>
      <c r="T31" s="401"/>
      <c r="U31" s="522"/>
      <c r="V31" s="402"/>
      <c r="W31" s="403"/>
      <c r="X31" s="519"/>
      <c r="Y31" s="404"/>
      <c r="Z31" s="406"/>
    </row>
    <row r="32" spans="1:26" ht="25.5" customHeight="1" x14ac:dyDescent="0.25">
      <c r="A32" s="378"/>
      <c r="B32" s="379"/>
      <c r="C32" s="393"/>
      <c r="D32" s="408"/>
      <c r="E32" s="394"/>
      <c r="F32" s="518"/>
      <c r="G32" s="507"/>
      <c r="H32" s="395"/>
      <c r="I32" s="396"/>
      <c r="J32" s="397"/>
      <c r="K32" s="398"/>
      <c r="L32" s="399"/>
      <c r="N32" s="382"/>
      <c r="O32" s="382"/>
      <c r="P32" s="382"/>
      <c r="Q32" s="524"/>
      <c r="R32" s="519"/>
      <c r="S32" s="400"/>
      <c r="T32" s="401"/>
      <c r="U32" s="522"/>
      <c r="V32" s="402"/>
      <c r="W32" s="403"/>
      <c r="X32" s="519"/>
      <c r="Y32" s="404"/>
      <c r="Z32" s="406"/>
    </row>
    <row r="33" spans="1:26" ht="25.5" customHeight="1" x14ac:dyDescent="0.25">
      <c r="A33" s="378"/>
      <c r="B33" s="379"/>
      <c r="C33" s="393"/>
      <c r="D33" s="408"/>
      <c r="E33" s="394"/>
      <c r="F33" s="518"/>
      <c r="G33" s="507"/>
      <c r="H33" s="395"/>
      <c r="I33" s="396"/>
      <c r="J33" s="397"/>
      <c r="K33" s="398"/>
      <c r="L33" s="399"/>
      <c r="N33" s="382"/>
      <c r="O33" s="382"/>
      <c r="P33" s="382"/>
      <c r="Q33" s="524"/>
      <c r="R33" s="519"/>
      <c r="S33" s="400"/>
      <c r="T33" s="401"/>
      <c r="U33" s="522"/>
      <c r="V33" s="402"/>
      <c r="W33" s="403"/>
      <c r="X33" s="519"/>
      <c r="Y33" s="404"/>
      <c r="Z33" s="406"/>
    </row>
    <row r="34" spans="1:26" ht="25.5" customHeight="1" x14ac:dyDescent="0.25">
      <c r="A34" s="378"/>
      <c r="B34" s="379"/>
      <c r="C34" s="393"/>
      <c r="D34" s="408"/>
      <c r="E34" s="394"/>
      <c r="F34" s="518"/>
      <c r="G34" s="507"/>
      <c r="H34" s="395"/>
      <c r="I34" s="396"/>
      <c r="J34" s="397"/>
      <c r="K34" s="398"/>
      <c r="L34" s="399"/>
      <c r="N34" s="382"/>
      <c r="O34" s="382"/>
      <c r="P34" s="382"/>
      <c r="Q34" s="524"/>
      <c r="R34" s="519"/>
      <c r="S34" s="400"/>
      <c r="T34" s="401"/>
      <c r="U34" s="522"/>
      <c r="V34" s="402"/>
      <c r="W34" s="403"/>
      <c r="X34" s="519"/>
      <c r="Y34" s="404"/>
      <c r="Z34" s="406"/>
    </row>
    <row r="35" spans="1:26" ht="25.5" customHeight="1" x14ac:dyDescent="0.25">
      <c r="A35" s="378"/>
      <c r="B35" s="379"/>
      <c r="C35" s="393"/>
      <c r="D35" s="408"/>
      <c r="E35" s="394"/>
      <c r="F35" s="518"/>
      <c r="G35" s="507"/>
      <c r="H35" s="395"/>
      <c r="I35" s="396"/>
      <c r="J35" s="397"/>
      <c r="K35" s="398"/>
      <c r="L35" s="399"/>
      <c r="N35" s="382"/>
      <c r="O35" s="382"/>
      <c r="P35" s="382"/>
      <c r="Q35" s="524"/>
      <c r="R35" s="519"/>
      <c r="S35" s="400"/>
      <c r="T35" s="401"/>
      <c r="U35" s="522"/>
      <c r="V35" s="402"/>
      <c r="W35" s="403"/>
      <c r="X35" s="519"/>
      <c r="Y35" s="404"/>
      <c r="Z35" s="406"/>
    </row>
    <row r="36" spans="1:26" ht="25.5" customHeight="1" x14ac:dyDescent="0.25">
      <c r="A36" s="378"/>
      <c r="B36" s="379"/>
      <c r="C36" s="393"/>
      <c r="D36" s="408"/>
      <c r="E36" s="394"/>
      <c r="F36" s="518"/>
      <c r="G36" s="507"/>
      <c r="H36" s="395"/>
      <c r="I36" s="396"/>
      <c r="J36" s="397"/>
      <c r="K36" s="398"/>
      <c r="L36" s="399"/>
      <c r="N36" s="382"/>
      <c r="O36" s="382"/>
      <c r="P36" s="382"/>
      <c r="Q36" s="524"/>
      <c r="R36" s="519"/>
      <c r="S36" s="400"/>
      <c r="T36" s="401"/>
      <c r="U36" s="522"/>
      <c r="V36" s="402"/>
      <c r="W36" s="403"/>
      <c r="X36" s="519"/>
      <c r="Y36" s="404"/>
      <c r="Z36" s="406"/>
    </row>
    <row r="37" spans="1:26" ht="25.5" customHeight="1" x14ac:dyDescent="0.25">
      <c r="A37" s="378"/>
      <c r="B37" s="379"/>
      <c r="C37" s="393"/>
      <c r="D37" s="408"/>
      <c r="E37" s="394"/>
      <c r="F37" s="518"/>
      <c r="G37" s="507"/>
      <c r="H37" s="395"/>
      <c r="I37" s="396"/>
      <c r="J37" s="397"/>
      <c r="K37" s="398"/>
      <c r="L37" s="399"/>
      <c r="N37" s="382"/>
      <c r="O37" s="382"/>
      <c r="P37" s="382"/>
      <c r="Q37" s="524"/>
      <c r="R37" s="519"/>
      <c r="S37" s="400"/>
      <c r="T37" s="401"/>
      <c r="U37" s="522"/>
      <c r="V37" s="402"/>
      <c r="W37" s="403"/>
      <c r="X37" s="519"/>
      <c r="Y37" s="404"/>
      <c r="Z37" s="406"/>
    </row>
    <row r="38" spans="1:26" ht="25.5" customHeight="1" x14ac:dyDescent="0.25">
      <c r="A38" s="378"/>
      <c r="B38" s="379"/>
      <c r="C38" s="393"/>
      <c r="D38" s="408"/>
      <c r="E38" s="394"/>
      <c r="F38" s="518"/>
      <c r="G38" s="507"/>
      <c r="H38" s="395"/>
      <c r="I38" s="396"/>
      <c r="J38" s="397"/>
      <c r="K38" s="398"/>
      <c r="L38" s="399"/>
      <c r="N38" s="382"/>
      <c r="O38" s="382"/>
      <c r="P38" s="382"/>
      <c r="Q38" s="524"/>
      <c r="R38" s="519"/>
      <c r="S38" s="400"/>
      <c r="T38" s="401"/>
      <c r="U38" s="522"/>
      <c r="V38" s="402"/>
      <c r="W38" s="403"/>
      <c r="X38" s="519"/>
      <c r="Y38" s="404"/>
      <c r="Z38" s="406"/>
    </row>
    <row r="39" spans="1:26" ht="25.5" customHeight="1" x14ac:dyDescent="0.25">
      <c r="A39" s="378"/>
      <c r="B39" s="379"/>
      <c r="C39" s="393"/>
      <c r="D39" s="408"/>
      <c r="E39" s="394"/>
      <c r="F39" s="518"/>
      <c r="G39" s="507"/>
      <c r="H39" s="395"/>
      <c r="I39" s="396"/>
      <c r="J39" s="397"/>
      <c r="K39" s="398"/>
      <c r="L39" s="399"/>
      <c r="N39" s="382"/>
      <c r="O39" s="382"/>
      <c r="P39" s="382"/>
      <c r="Q39" s="524"/>
      <c r="R39" s="519"/>
      <c r="S39" s="400"/>
      <c r="T39" s="401"/>
      <c r="U39" s="522"/>
      <c r="V39" s="402"/>
      <c r="W39" s="403"/>
      <c r="X39" s="519"/>
      <c r="Y39" s="404"/>
      <c r="Z39" s="406"/>
    </row>
    <row r="40" spans="1:26" ht="25.5" customHeight="1" x14ac:dyDescent="0.25">
      <c r="A40" s="378"/>
      <c r="B40" s="379"/>
      <c r="C40" s="393"/>
      <c r="D40" s="408"/>
      <c r="E40" s="394"/>
      <c r="F40" s="518"/>
      <c r="G40" s="507"/>
      <c r="H40" s="395"/>
      <c r="I40" s="396"/>
      <c r="J40" s="397"/>
      <c r="K40" s="398"/>
      <c r="L40" s="399"/>
      <c r="N40" s="382"/>
      <c r="O40" s="382"/>
      <c r="P40" s="382"/>
      <c r="Q40" s="524"/>
      <c r="R40" s="519"/>
      <c r="S40" s="400"/>
      <c r="T40" s="401"/>
      <c r="U40" s="522"/>
      <c r="V40" s="402"/>
      <c r="W40" s="403"/>
      <c r="X40" s="519"/>
      <c r="Y40" s="404"/>
      <c r="Z40" s="406"/>
    </row>
    <row r="41" spans="1:26" ht="25.5" customHeight="1" x14ac:dyDescent="0.25">
      <c r="A41" s="378"/>
      <c r="B41" s="379"/>
      <c r="C41" s="393"/>
      <c r="D41" s="408"/>
      <c r="E41" s="394"/>
      <c r="F41" s="518"/>
      <c r="G41" s="507"/>
      <c r="H41" s="395"/>
      <c r="I41" s="396"/>
      <c r="J41" s="397"/>
      <c r="K41" s="398"/>
      <c r="L41" s="399"/>
      <c r="N41" s="382"/>
      <c r="O41" s="382"/>
      <c r="P41" s="382"/>
      <c r="Q41" s="524"/>
      <c r="R41" s="519"/>
      <c r="S41" s="400"/>
      <c r="T41" s="401"/>
      <c r="U41" s="522"/>
      <c r="V41" s="402"/>
      <c r="W41" s="403"/>
      <c r="X41" s="519"/>
      <c r="Y41" s="404"/>
      <c r="Z41" s="406"/>
    </row>
    <row r="42" spans="1:26" ht="25.5" customHeight="1" x14ac:dyDescent="0.25">
      <c r="A42" s="378"/>
      <c r="B42" s="379"/>
      <c r="C42" s="393"/>
      <c r="D42" s="408"/>
      <c r="E42" s="394"/>
      <c r="F42" s="518"/>
      <c r="G42" s="507"/>
      <c r="H42" s="395"/>
      <c r="I42" s="396"/>
      <c r="J42" s="397"/>
      <c r="K42" s="398"/>
      <c r="L42" s="399"/>
      <c r="N42" s="382"/>
      <c r="O42" s="382"/>
      <c r="P42" s="382"/>
      <c r="Q42" s="524"/>
      <c r="R42" s="519"/>
      <c r="S42" s="400"/>
      <c r="T42" s="401"/>
      <c r="U42" s="522"/>
      <c r="V42" s="402"/>
      <c r="W42" s="403"/>
      <c r="X42" s="519"/>
      <c r="Y42" s="404"/>
      <c r="Z42" s="406"/>
    </row>
    <row r="43" spans="1:26" ht="25.5" customHeight="1" x14ac:dyDescent="0.25">
      <c r="A43" s="378"/>
      <c r="B43" s="379"/>
      <c r="C43" s="393"/>
      <c r="D43" s="408"/>
      <c r="E43" s="394"/>
      <c r="F43" s="518"/>
      <c r="G43" s="507"/>
      <c r="H43" s="395"/>
      <c r="I43" s="396"/>
      <c r="J43" s="397"/>
      <c r="K43" s="398"/>
      <c r="L43" s="399"/>
      <c r="N43" s="382"/>
      <c r="O43" s="382"/>
      <c r="P43" s="382"/>
      <c r="Q43" s="524"/>
      <c r="R43" s="519"/>
      <c r="S43" s="400"/>
      <c r="T43" s="401"/>
      <c r="U43" s="522"/>
      <c r="V43" s="402"/>
      <c r="W43" s="403"/>
      <c r="X43" s="519"/>
      <c r="Y43" s="404"/>
      <c r="Z43" s="406"/>
    </row>
    <row r="44" spans="1:26" ht="25.5" customHeight="1" x14ac:dyDescent="0.25">
      <c r="A44" s="378"/>
      <c r="B44" s="379"/>
      <c r="C44" s="393"/>
      <c r="D44" s="408"/>
      <c r="E44" s="394"/>
      <c r="F44" s="518"/>
      <c r="G44" s="507"/>
      <c r="H44" s="395"/>
      <c r="I44" s="396"/>
      <c r="J44" s="397"/>
      <c r="K44" s="398"/>
      <c r="L44" s="399"/>
      <c r="N44" s="382"/>
      <c r="O44" s="382"/>
      <c r="P44" s="382"/>
      <c r="Q44" s="524"/>
      <c r="R44" s="519"/>
      <c r="S44" s="400"/>
      <c r="T44" s="401"/>
      <c r="U44" s="522"/>
      <c r="V44" s="402"/>
      <c r="W44" s="403"/>
      <c r="X44" s="519"/>
      <c r="Y44" s="404"/>
      <c r="Z44" s="406"/>
    </row>
    <row r="45" spans="1:26" ht="23.25" customHeight="1" x14ac:dyDescent="0.25"/>
    <row r="46" spans="1:26" ht="23.25" customHeight="1" x14ac:dyDescent="0.25"/>
    <row r="47" spans="1:26" ht="23.25" customHeight="1" x14ac:dyDescent="0.25"/>
    <row r="48" spans="1:26" ht="23.25" customHeight="1" x14ac:dyDescent="0.25"/>
    <row r="49" ht="23.25" customHeight="1" x14ac:dyDescent="0.25"/>
    <row r="50" ht="23.25" customHeight="1" x14ac:dyDescent="0.25"/>
    <row r="51" ht="23.25" customHeight="1" x14ac:dyDescent="0.25"/>
    <row r="52" ht="23.25" customHeight="1" x14ac:dyDescent="0.25"/>
    <row r="53" ht="23.25" customHeight="1" x14ac:dyDescent="0.25"/>
    <row r="54" ht="23.25" customHeight="1" x14ac:dyDescent="0.25"/>
  </sheetData>
  <sheetProtection password="DF8E" sheet="1" objects="1" scenarios="1"/>
  <protectedRanges>
    <protectedRange sqref="K14:L14 U13:Y14 G4 G7:G8 X12 D15:J44" name="Range1"/>
  </protectedRanges>
  <mergeCells count="43">
    <mergeCell ref="C13:C14"/>
    <mergeCell ref="E13:E14"/>
    <mergeCell ref="F13:F14"/>
    <mergeCell ref="G13:G14"/>
    <mergeCell ref="D13:D14"/>
    <mergeCell ref="U13:V14"/>
    <mergeCell ref="X13:Y14"/>
    <mergeCell ref="U12:V12"/>
    <mergeCell ref="X12:Y12"/>
    <mergeCell ref="R6:S6"/>
    <mergeCell ref="U6:V6"/>
    <mergeCell ref="X6:Y6"/>
    <mergeCell ref="U9:V9"/>
    <mergeCell ref="X9:Y9"/>
    <mergeCell ref="X10:Y10"/>
    <mergeCell ref="R7:S7"/>
    <mergeCell ref="U7:V7"/>
    <mergeCell ref="X7:Y7"/>
    <mergeCell ref="R8:S8"/>
    <mergeCell ref="U8:V8"/>
    <mergeCell ref="X8:Y8"/>
    <mergeCell ref="U10:V10"/>
    <mergeCell ref="R4:S4"/>
    <mergeCell ref="U4:Y4"/>
    <mergeCell ref="R5:S5"/>
    <mergeCell ref="U5:V5"/>
    <mergeCell ref="X5:Y5"/>
    <mergeCell ref="R9:S9"/>
    <mergeCell ref="H7:I7"/>
    <mergeCell ref="G4:I5"/>
    <mergeCell ref="G3:I3"/>
    <mergeCell ref="H13:H14"/>
    <mergeCell ref="Q12:S12"/>
    <mergeCell ref="Q13:S13"/>
    <mergeCell ref="I13:I14"/>
    <mergeCell ref="J13:J14"/>
    <mergeCell ref="E12:H12"/>
    <mergeCell ref="I12:J12"/>
    <mergeCell ref="K12:L12"/>
    <mergeCell ref="D4:F5"/>
    <mergeCell ref="H8:I8"/>
    <mergeCell ref="G10:I10"/>
    <mergeCell ref="R10:S10"/>
  </mergeCells>
  <conditionalFormatting sqref="R8:S9 U8:V9 X8:Y9">
    <cfRule type="cellIs" dxfId="12" priority="30" operator="greaterThan">
      <formula>0</formula>
    </cfRule>
  </conditionalFormatting>
  <conditionalFormatting sqref="D15:D16">
    <cfRule type="containsText" dxfId="11" priority="22" operator="containsText" text="SHORT">
      <formula>NOT(ISERROR(SEARCH("SHORT",D15)))</formula>
    </cfRule>
    <cfRule type="containsText" dxfId="10" priority="23" operator="containsText" text="LONG">
      <formula>NOT(ISERROR(SEARCH("LONG",D15)))</formula>
    </cfRule>
  </conditionalFormatting>
  <conditionalFormatting sqref="S15:S44 V15:V44 Y15:Y44">
    <cfRule type="cellIs" dxfId="9" priority="14" operator="lessThan">
      <formula>0</formula>
    </cfRule>
  </conditionalFormatting>
  <conditionalFormatting sqref="R15:R44">
    <cfRule type="expression" dxfId="8" priority="13">
      <formula>AL15&gt;0</formula>
    </cfRule>
  </conditionalFormatting>
  <conditionalFormatting sqref="U15:U44">
    <cfRule type="expression" dxfId="7" priority="12">
      <formula>AN15&gt;0</formula>
    </cfRule>
  </conditionalFormatting>
  <conditionalFormatting sqref="X15:X44">
    <cfRule type="expression" dxfId="6" priority="9">
      <formula>AP15&gt;=0</formula>
    </cfRule>
  </conditionalFormatting>
  <conditionalFormatting sqref="D17">
    <cfRule type="containsText" dxfId="5" priority="7" operator="containsText" text="SHORT">
      <formula>NOT(ISERROR(SEARCH("SHORT",D17)))</formula>
    </cfRule>
    <cfRule type="containsText" dxfId="4" priority="8" operator="containsText" text="LONG">
      <formula>NOT(ISERROR(SEARCH("LONG",D17)))</formula>
    </cfRule>
  </conditionalFormatting>
  <conditionalFormatting sqref="D18">
    <cfRule type="containsText" dxfId="3" priority="3" operator="containsText" text="SHORT">
      <formula>NOT(ISERROR(SEARCH("SHORT",D18)))</formula>
    </cfRule>
    <cfRule type="containsText" dxfId="2" priority="4" operator="containsText" text="LONG">
      <formula>NOT(ISERROR(SEARCH("LONG",D18)))</formula>
    </cfRule>
  </conditionalFormatting>
  <conditionalFormatting sqref="D19:D44">
    <cfRule type="containsText" dxfId="1" priority="1" operator="containsText" text="SHORT">
      <formula>NOT(ISERROR(SEARCH("SHORT",D19)))</formula>
    </cfRule>
    <cfRule type="containsText" dxfId="0" priority="2" operator="containsText" text="LONG">
      <formula>NOT(ISERROR(SEARCH("LONG",D19)))</formula>
    </cfRule>
  </conditionalFormatting>
  <dataValidations count="8">
    <dataValidation type="list" allowBlank="1" showInputMessage="1" showErrorMessage="1" prompt="Select plan calculation" sqref="X13 U13:V14" xr:uid="{6D5E156C-104F-4C96-8069-23D4AD773786}">
      <formula1>$I$13:$L$13</formula1>
    </dataValidation>
    <dataValidation allowBlank="1" showInputMessage="1" showErrorMessage="1" prompt="Enter price per share" sqref="J15:J44" xr:uid="{CC04EAD2-FCB1-4FF9-B4A9-7E2784445130}"/>
    <dataValidation type="custom" errorStyle="information" allowBlank="1" showInputMessage="1" showErrorMessage="1" error="Enter positive value" prompt="Enter positive value" sqref="L14" xr:uid="{C6F5020C-84FE-43F7-B3E7-D151A7B8FBA9}">
      <formula1>L14&gt;0</formula1>
    </dataValidation>
    <dataValidation type="custom" errorStyle="information" allowBlank="1" showInputMessage="1" showErrorMessage="1" error="Enter negative value" prompt="Enter negative value" sqref="K14" xr:uid="{C6C77B2B-6FC2-4653-9AC6-952447611A59}">
      <formula1>K14&lt;0</formula1>
    </dataValidation>
    <dataValidation type="list" allowBlank="1" showInputMessage="1" showErrorMessage="1" sqref="AB12" xr:uid="{4756011B-D352-4AAF-980E-7172A8CBB982}">
      <formula1>OFFSET(#REF!,0,0,COUNTA($AA$15:$AA$100)-1)</formula1>
    </dataValidation>
    <dataValidation errorStyle="information" allowBlank="1" showInputMessage="1" showErrorMessage="1" error="Account does not have Stock position" sqref="E15:E44" xr:uid="{95DAAE6B-51EA-44A3-81E9-08A87F6298CD}"/>
    <dataValidation type="list" allowBlank="1" showInputMessage="1" showErrorMessage="1" sqref="D15:D44" xr:uid="{3AD93153-7374-49ED-9177-43AAEFE3A414}">
      <formula1>$AA$9:$AA$10</formula1>
    </dataValidation>
    <dataValidation type="list" allowBlank="1" showInputMessage="1" showErrorMessage="1" sqref="X12" xr:uid="{14537DD0-5D96-489D-9D19-92B1E4CE1174}">
      <formula1>$AA$11:$AA$12</formula1>
    </dataValidation>
  </dataValidations>
  <pageMargins left="0.7" right="0.7" top="0.75" bottom="0.75" header="0.3" footer="0.3"/>
  <pageSetup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1" tint="0.499984740745262"/>
  </sheetPr>
  <dimension ref="A1:AC145"/>
  <sheetViews>
    <sheetView showGridLines="0" showRowColHeaders="0" zoomScaleNormal="100" workbookViewId="0">
      <pane ySplit="10" topLeftCell="A11" activePane="bottomLeft" state="frozen"/>
      <selection activeCell="AK10" sqref="AK10"/>
      <selection pane="bottomLeft" activeCell="R130" sqref="R130"/>
    </sheetView>
  </sheetViews>
  <sheetFormatPr defaultColWidth="0" defaultRowHeight="15.75" x14ac:dyDescent="0.25"/>
  <cols>
    <col min="1" max="1" width="2.42578125" style="62" customWidth="1"/>
    <col min="2" max="14" width="8.7109375" style="62" customWidth="1"/>
    <col min="15" max="15" width="13.28515625" style="62" customWidth="1"/>
    <col min="16" max="16" width="12.42578125" style="62" bestFit="1" customWidth="1"/>
    <col min="17" max="17" width="12.7109375" style="62" bestFit="1" customWidth="1"/>
    <col min="18" max="18" width="11" style="62" bestFit="1" customWidth="1"/>
    <col min="19" max="19" width="12.42578125" style="62" bestFit="1" customWidth="1"/>
    <col min="20" max="20" width="11.42578125" style="62" bestFit="1" customWidth="1"/>
    <col min="21" max="21" width="9.140625" style="62" customWidth="1"/>
    <col min="22" max="29" width="0" style="62" hidden="1" customWidth="1"/>
    <col min="30" max="16384" width="9.140625" style="62" hidden="1"/>
  </cols>
  <sheetData>
    <row r="1" spans="1:29" ht="3.75" customHeight="1" x14ac:dyDescent="0.25">
      <c r="A1" s="81"/>
      <c r="B1" s="81"/>
      <c r="C1" s="81"/>
      <c r="D1" s="81"/>
      <c r="E1" s="81"/>
      <c r="F1" s="81"/>
      <c r="G1" s="81"/>
      <c r="H1" s="81"/>
      <c r="I1" s="81"/>
      <c r="J1" s="81"/>
      <c r="K1" s="81"/>
      <c r="L1" s="81"/>
      <c r="M1" s="81"/>
      <c r="N1" s="81"/>
      <c r="O1" s="81"/>
      <c r="P1" s="81"/>
      <c r="Q1" s="81"/>
      <c r="R1" s="81"/>
      <c r="S1" s="81"/>
      <c r="T1" s="81"/>
      <c r="U1" s="81"/>
    </row>
    <row r="2" spans="1:29" ht="19.5" customHeight="1" x14ac:dyDescent="0.25">
      <c r="A2" s="81"/>
      <c r="B2" s="704" t="s">
        <v>291</v>
      </c>
      <c r="C2" s="704"/>
      <c r="D2" s="704"/>
      <c r="E2" s="704"/>
      <c r="F2" s="704"/>
      <c r="G2" s="704"/>
      <c r="H2" s="704"/>
      <c r="I2" s="704"/>
      <c r="J2" s="704"/>
      <c r="K2" s="704"/>
      <c r="L2" s="704"/>
      <c r="M2" s="704"/>
      <c r="N2" s="704"/>
      <c r="O2" s="704"/>
      <c r="P2" s="704"/>
      <c r="Q2" s="704"/>
      <c r="R2" s="704"/>
      <c r="S2" s="704"/>
      <c r="T2" s="704"/>
      <c r="U2" s="81"/>
    </row>
    <row r="3" spans="1:29" ht="17.25" customHeight="1" x14ac:dyDescent="0.25">
      <c r="A3" s="81"/>
      <c r="B3" s="82"/>
      <c r="C3" s="81"/>
      <c r="D3" s="132" t="s">
        <v>341</v>
      </c>
      <c r="E3" s="132"/>
      <c r="F3" s="132"/>
      <c r="G3" s="132"/>
      <c r="H3" s="132"/>
      <c r="I3" s="107"/>
      <c r="J3" s="107"/>
      <c r="K3" s="107"/>
      <c r="L3" s="107"/>
      <c r="M3" s="107"/>
      <c r="N3" s="81"/>
      <c r="O3" s="698" t="s">
        <v>290</v>
      </c>
      <c r="P3" s="698"/>
      <c r="Q3" s="698"/>
      <c r="R3" s="698"/>
      <c r="S3" s="698"/>
      <c r="T3" s="698"/>
      <c r="U3" s="81"/>
      <c r="Z3" s="6" t="s">
        <v>172</v>
      </c>
      <c r="AA3" s="6" t="s">
        <v>176</v>
      </c>
      <c r="AB3" s="6"/>
      <c r="AC3" s="6"/>
    </row>
    <row r="4" spans="1:29" ht="17.25" customHeight="1" x14ac:dyDescent="0.25">
      <c r="A4" s="81"/>
      <c r="B4" s="82"/>
      <c r="C4" s="107"/>
      <c r="D4" s="703" t="s">
        <v>235</v>
      </c>
      <c r="E4" s="703"/>
      <c r="F4" s="703"/>
      <c r="G4" s="703"/>
      <c r="H4" s="703"/>
      <c r="I4" s="703"/>
      <c r="J4" s="703"/>
      <c r="K4" s="703"/>
      <c r="L4" s="703"/>
      <c r="M4" s="107"/>
      <c r="N4" s="81"/>
      <c r="O4" s="101" t="s">
        <v>171</v>
      </c>
      <c r="P4" s="102" t="s">
        <v>172</v>
      </c>
      <c r="Q4" s="102" t="s">
        <v>173</v>
      </c>
      <c r="R4" s="102" t="s">
        <v>174</v>
      </c>
      <c r="S4" s="102" t="s">
        <v>172</v>
      </c>
      <c r="T4" s="103" t="s">
        <v>175</v>
      </c>
      <c r="U4" s="81"/>
      <c r="W4" s="63" t="s">
        <v>170</v>
      </c>
      <c r="Z4" s="6">
        <v>1E-4</v>
      </c>
      <c r="AA4" s="6">
        <v>9.9000000000000008E-3</v>
      </c>
      <c r="AB4" s="6">
        <v>1E-4</v>
      </c>
      <c r="AC4" s="7">
        <v>1000000</v>
      </c>
    </row>
    <row r="5" spans="1:29" ht="17.25" customHeight="1" x14ac:dyDescent="0.25">
      <c r="A5" s="81"/>
      <c r="B5" s="82"/>
      <c r="C5" s="107"/>
      <c r="D5" s="703"/>
      <c r="E5" s="703"/>
      <c r="F5" s="703"/>
      <c r="G5" s="703"/>
      <c r="H5" s="703"/>
      <c r="I5" s="703"/>
      <c r="J5" s="703"/>
      <c r="K5" s="703"/>
      <c r="L5" s="703"/>
      <c r="M5" s="107"/>
      <c r="N5" s="81"/>
      <c r="O5" s="84" t="s">
        <v>177</v>
      </c>
      <c r="P5" s="85" t="s">
        <v>167</v>
      </c>
      <c r="Q5" s="86">
        <v>2.5000000000000001E-3</v>
      </c>
      <c r="R5" s="87">
        <v>20</v>
      </c>
      <c r="S5" s="85" t="s">
        <v>167</v>
      </c>
      <c r="T5" s="88"/>
      <c r="U5" s="81"/>
      <c r="W5" s="63" t="s">
        <v>167</v>
      </c>
      <c r="Z5" s="6">
        <v>0.01</v>
      </c>
      <c r="AA5" s="6">
        <v>4.9000000000000002E-2</v>
      </c>
      <c r="AB5" s="6">
        <v>1E-3</v>
      </c>
      <c r="AC5" s="7">
        <v>100000</v>
      </c>
    </row>
    <row r="6" spans="1:29" ht="17.25" customHeight="1" x14ac:dyDescent="0.25">
      <c r="A6" s="81"/>
      <c r="B6" s="82"/>
      <c r="C6" s="83"/>
      <c r="D6" s="703"/>
      <c r="E6" s="703"/>
      <c r="F6" s="703"/>
      <c r="G6" s="703"/>
      <c r="H6" s="703"/>
      <c r="I6" s="703"/>
      <c r="J6" s="703"/>
      <c r="K6" s="703"/>
      <c r="L6" s="703"/>
      <c r="M6" s="81"/>
      <c r="N6" s="81"/>
      <c r="O6" s="89" t="s">
        <v>179</v>
      </c>
      <c r="P6" s="90" t="s">
        <v>167</v>
      </c>
      <c r="Q6" s="91">
        <v>2.9999999999999997E-4</v>
      </c>
      <c r="R6" s="92">
        <v>2.4</v>
      </c>
      <c r="S6" s="90" t="s">
        <v>167</v>
      </c>
      <c r="T6" s="93"/>
      <c r="U6" s="81"/>
      <c r="W6" s="63" t="s">
        <v>178</v>
      </c>
      <c r="Z6" s="6">
        <v>0.05</v>
      </c>
      <c r="AA6" s="6">
        <v>0.249</v>
      </c>
      <c r="AB6" s="6">
        <v>1E-3</v>
      </c>
      <c r="AC6" s="7">
        <v>10000</v>
      </c>
    </row>
    <row r="7" spans="1:29" ht="17.25" customHeight="1" x14ac:dyDescent="0.25">
      <c r="A7" s="81"/>
      <c r="B7" s="82"/>
      <c r="C7" s="110" t="s">
        <v>301</v>
      </c>
      <c r="D7" s="109" t="s">
        <v>302</v>
      </c>
      <c r="E7" s="108"/>
      <c r="F7" s="108"/>
      <c r="G7" s="108"/>
      <c r="H7" s="108"/>
      <c r="I7" s="108"/>
      <c r="J7" s="108"/>
      <c r="K7" s="108"/>
      <c r="L7" s="108"/>
      <c r="M7" s="108"/>
      <c r="N7" s="81"/>
      <c r="O7" s="89" t="s">
        <v>180</v>
      </c>
      <c r="P7" s="90" t="s">
        <v>167</v>
      </c>
      <c r="Q7" s="91">
        <v>1.5E-3</v>
      </c>
      <c r="R7" s="92"/>
      <c r="S7" s="90" t="s">
        <v>167</v>
      </c>
      <c r="T7" s="94"/>
      <c r="U7" s="81"/>
      <c r="Z7" s="6">
        <v>0.25</v>
      </c>
      <c r="AA7" s="6">
        <v>0.495</v>
      </c>
      <c r="AB7" s="6">
        <v>5.0000000000000001E-3</v>
      </c>
      <c r="AC7" s="7">
        <v>10000</v>
      </c>
    </row>
    <row r="8" spans="1:29" ht="17.25" customHeight="1" x14ac:dyDescent="0.25">
      <c r="A8" s="81"/>
      <c r="B8" s="82"/>
      <c r="C8" s="83"/>
      <c r="D8" s="109" t="s">
        <v>300</v>
      </c>
      <c r="E8" s="81"/>
      <c r="F8" s="81"/>
      <c r="G8" s="81"/>
      <c r="H8" s="81"/>
      <c r="I8" s="81"/>
      <c r="J8" s="81"/>
      <c r="K8" s="81"/>
      <c r="L8" s="81"/>
      <c r="M8" s="81"/>
      <c r="N8" s="81"/>
      <c r="O8" s="95" t="s">
        <v>181</v>
      </c>
      <c r="P8" s="96" t="s">
        <v>167</v>
      </c>
      <c r="Q8" s="97">
        <v>6.0000000000000001E-3</v>
      </c>
      <c r="R8" s="98"/>
      <c r="S8" s="96" t="s">
        <v>167</v>
      </c>
      <c r="T8" s="99"/>
      <c r="U8" s="81"/>
      <c r="Z8" s="6">
        <v>0.5</v>
      </c>
      <c r="AA8" s="6">
        <v>4.99</v>
      </c>
      <c r="AB8" s="6">
        <v>0.01</v>
      </c>
      <c r="AC8" s="7">
        <v>1000</v>
      </c>
    </row>
    <row r="9" spans="1:29" ht="6.75" customHeight="1" x14ac:dyDescent="0.25">
      <c r="A9" s="81"/>
      <c r="B9" s="82"/>
      <c r="C9" s="81"/>
      <c r="D9" s="81"/>
      <c r="E9" s="81"/>
      <c r="F9" s="81"/>
      <c r="G9" s="81"/>
      <c r="H9" s="81"/>
      <c r="I9" s="81"/>
      <c r="J9" s="81"/>
      <c r="K9" s="81"/>
      <c r="L9" s="81"/>
      <c r="M9" s="81"/>
      <c r="N9" s="81"/>
      <c r="O9" s="81"/>
      <c r="P9" s="81"/>
      <c r="Q9" s="81"/>
      <c r="R9" s="81"/>
      <c r="S9" s="81"/>
      <c r="T9" s="81"/>
      <c r="U9" s="81"/>
      <c r="Z9" s="6">
        <v>5</v>
      </c>
      <c r="AA9" s="6">
        <v>9.99</v>
      </c>
      <c r="AB9" s="6">
        <v>0.01</v>
      </c>
      <c r="AC9" s="6">
        <v>100</v>
      </c>
    </row>
    <row r="10" spans="1:29" ht="21.75" customHeight="1" x14ac:dyDescent="0.25">
      <c r="A10" s="492"/>
      <c r="B10" s="491" t="s">
        <v>679</v>
      </c>
      <c r="C10" s="701"/>
      <c r="D10" s="702"/>
      <c r="E10" s="702"/>
      <c r="F10" s="702"/>
      <c r="G10" s="702"/>
      <c r="H10" s="702"/>
      <c r="I10" s="702"/>
      <c r="J10" s="702"/>
      <c r="K10" s="702"/>
      <c r="L10" s="702"/>
      <c r="M10" s="702"/>
      <c r="N10" s="702"/>
      <c r="O10" s="702"/>
      <c r="P10" s="702"/>
      <c r="Q10" s="702"/>
      <c r="R10" s="702"/>
      <c r="S10" s="702"/>
      <c r="T10" s="702"/>
      <c r="U10" s="100"/>
      <c r="V10" s="66"/>
      <c r="Z10" s="6">
        <v>10</v>
      </c>
      <c r="AA10" s="6">
        <v>19.98</v>
      </c>
      <c r="AB10" s="6">
        <v>0.02</v>
      </c>
      <c r="AC10" s="6">
        <v>100</v>
      </c>
    </row>
    <row r="11" spans="1:29" customFormat="1" ht="21.75" customHeight="1" x14ac:dyDescent="0.25"/>
    <row r="12" spans="1:29" customFormat="1" ht="21.75" customHeight="1" x14ac:dyDescent="0.35">
      <c r="C12" s="123" t="s">
        <v>701</v>
      </c>
    </row>
    <row r="13" spans="1:29" customFormat="1" ht="21.75" customHeight="1" x14ac:dyDescent="0.25"/>
    <row r="14" spans="1:29" customFormat="1" ht="21.75" customHeight="1" x14ac:dyDescent="0.25">
      <c r="C14" s="709" t="s">
        <v>739</v>
      </c>
      <c r="D14" s="709"/>
      <c r="E14" s="709"/>
      <c r="F14" s="709"/>
      <c r="G14" s="709"/>
    </row>
    <row r="15" spans="1:29" customFormat="1" ht="21.75" customHeight="1" x14ac:dyDescent="0.25">
      <c r="C15" s="709"/>
      <c r="D15" s="709"/>
      <c r="E15" s="709"/>
      <c r="F15" s="709"/>
      <c r="G15" s="709"/>
    </row>
    <row r="16" spans="1:29" customFormat="1" ht="21.75" customHeight="1" x14ac:dyDescent="0.25">
      <c r="C16" s="709"/>
      <c r="D16" s="709"/>
      <c r="E16" s="709"/>
      <c r="F16" s="709"/>
      <c r="G16" s="709"/>
    </row>
    <row r="17" spans="2:29" customFormat="1" ht="21.75" customHeight="1" x14ac:dyDescent="0.25"/>
    <row r="18" spans="2:29" customFormat="1" ht="21.75" customHeight="1" x14ac:dyDescent="0.25"/>
    <row r="19" spans="2:29" customFormat="1" ht="21.75" customHeight="1" x14ac:dyDescent="0.25"/>
    <row r="20" spans="2:29" customFormat="1" ht="21.75" customHeight="1" x14ac:dyDescent="0.25"/>
    <row r="21" spans="2:29" customFormat="1" ht="21.75" customHeight="1" x14ac:dyDescent="0.25"/>
    <row r="22" spans="2:29" customFormat="1" ht="21.75" customHeight="1" x14ac:dyDescent="0.25"/>
    <row r="23" spans="2:29" ht="18.75" customHeight="1" x14ac:dyDescent="0.25">
      <c r="B23" s="61"/>
      <c r="O23" s="114"/>
      <c r="P23" s="115"/>
      <c r="Q23" s="115"/>
      <c r="R23" s="113"/>
      <c r="Z23" s="6">
        <v>20</v>
      </c>
      <c r="AA23" s="6">
        <v>49.95</v>
      </c>
      <c r="AB23" s="6">
        <v>0.05</v>
      </c>
      <c r="AC23" s="6">
        <v>100</v>
      </c>
    </row>
    <row r="24" spans="2:29" ht="18.75" customHeight="1" x14ac:dyDescent="0.35">
      <c r="B24" s="61"/>
      <c r="C24" s="123" t="s">
        <v>376</v>
      </c>
      <c r="Z24" s="6">
        <v>50</v>
      </c>
      <c r="AA24" s="6">
        <v>99.95</v>
      </c>
      <c r="AB24" s="6">
        <v>0.05</v>
      </c>
      <c r="AC24" s="6">
        <v>10</v>
      </c>
    </row>
    <row r="25" spans="2:29" ht="18.75" customHeight="1" x14ac:dyDescent="0.25">
      <c r="B25" s="61"/>
      <c r="C25" s="700" t="s">
        <v>332</v>
      </c>
      <c r="D25" s="700"/>
      <c r="E25" s="700"/>
      <c r="F25" s="700"/>
      <c r="G25" s="700"/>
      <c r="Z25" s="6">
        <v>100</v>
      </c>
      <c r="AA25" s="6">
        <v>199.9</v>
      </c>
      <c r="AB25" s="6">
        <v>0.1</v>
      </c>
      <c r="AC25" s="6">
        <v>10</v>
      </c>
    </row>
    <row r="26" spans="2:29" ht="16.5" x14ac:dyDescent="0.25">
      <c r="B26" s="65"/>
      <c r="C26" s="700"/>
      <c r="D26" s="700"/>
      <c r="E26" s="700"/>
      <c r="F26" s="700"/>
      <c r="G26" s="700"/>
      <c r="Z26" s="6">
        <v>200</v>
      </c>
      <c r="AA26" s="6">
        <v>499.8</v>
      </c>
      <c r="AB26" s="6">
        <v>0.2</v>
      </c>
      <c r="AC26" s="6">
        <v>10</v>
      </c>
    </row>
    <row r="27" spans="2:29" ht="16.5" x14ac:dyDescent="0.25">
      <c r="B27" s="61"/>
      <c r="C27" s="700"/>
      <c r="D27" s="700"/>
      <c r="E27" s="700"/>
      <c r="F27" s="700"/>
      <c r="G27" s="700"/>
      <c r="Z27" s="6">
        <v>500</v>
      </c>
      <c r="AA27" s="6">
        <v>999.5</v>
      </c>
      <c r="AB27" s="6">
        <v>0.5</v>
      </c>
      <c r="AC27" s="6">
        <v>10</v>
      </c>
    </row>
    <row r="28" spans="2:29" ht="16.5" x14ac:dyDescent="0.25">
      <c r="Z28" s="6">
        <v>1000</v>
      </c>
      <c r="AA28" s="6">
        <v>1999</v>
      </c>
      <c r="AB28" s="6">
        <v>1</v>
      </c>
      <c r="AC28" s="6">
        <v>5</v>
      </c>
    </row>
    <row r="29" spans="2:29" ht="16.5" x14ac:dyDescent="0.25">
      <c r="Z29" s="6">
        <v>2000</v>
      </c>
      <c r="AA29" s="6">
        <v>4998</v>
      </c>
      <c r="AB29" s="6">
        <v>2</v>
      </c>
      <c r="AC29" s="6">
        <v>5</v>
      </c>
    </row>
    <row r="30" spans="2:29" ht="33" x14ac:dyDescent="0.25">
      <c r="Z30" s="6">
        <v>5000</v>
      </c>
      <c r="AA30" s="6" t="s">
        <v>182</v>
      </c>
      <c r="AB30" s="6">
        <v>5</v>
      </c>
      <c r="AC30" s="6">
        <v>5</v>
      </c>
    </row>
    <row r="32" spans="2:29" x14ac:dyDescent="0.25">
      <c r="B32" s="64"/>
    </row>
    <row r="35" spans="3:7" ht="15.75" customHeight="1" x14ac:dyDescent="0.25"/>
    <row r="37" spans="3:7" ht="23.25" x14ac:dyDescent="0.35">
      <c r="C37" s="123" t="s">
        <v>377</v>
      </c>
    </row>
    <row r="38" spans="3:7" ht="15.75" customHeight="1" x14ac:dyDescent="0.25">
      <c r="C38" s="139"/>
      <c r="D38" s="139"/>
      <c r="E38" s="139"/>
      <c r="F38" s="139"/>
      <c r="G38" s="139"/>
    </row>
    <row r="39" spans="3:7" x14ac:dyDescent="0.25">
      <c r="C39" s="709" t="s">
        <v>342</v>
      </c>
      <c r="D39" s="709"/>
      <c r="E39" s="709"/>
      <c r="F39" s="709"/>
      <c r="G39" s="709"/>
    </row>
    <row r="40" spans="3:7" ht="15.75" customHeight="1" x14ac:dyDescent="0.25">
      <c r="C40" s="709"/>
      <c r="D40" s="709"/>
      <c r="E40" s="709"/>
      <c r="F40" s="709"/>
      <c r="G40" s="709"/>
    </row>
    <row r="41" spans="3:7" x14ac:dyDescent="0.25">
      <c r="C41" s="709"/>
      <c r="D41" s="709"/>
      <c r="E41" s="709"/>
      <c r="F41" s="709"/>
      <c r="G41" s="709"/>
    </row>
    <row r="42" spans="3:7" x14ac:dyDescent="0.25">
      <c r="C42" s="709"/>
      <c r="D42" s="709"/>
      <c r="E42" s="709"/>
      <c r="F42" s="709"/>
      <c r="G42" s="709"/>
    </row>
    <row r="43" spans="3:7" x14ac:dyDescent="0.25">
      <c r="C43" s="709"/>
      <c r="D43" s="709"/>
      <c r="E43" s="709"/>
      <c r="F43" s="709"/>
      <c r="G43" s="709"/>
    </row>
    <row r="44" spans="3:7" x14ac:dyDescent="0.25">
      <c r="C44" s="709"/>
      <c r="D44" s="709"/>
      <c r="E44" s="709"/>
      <c r="F44" s="709"/>
      <c r="G44" s="709"/>
    </row>
    <row r="45" spans="3:7" x14ac:dyDescent="0.25">
      <c r="C45" s="709"/>
      <c r="D45" s="709"/>
      <c r="E45" s="709"/>
      <c r="F45" s="709"/>
      <c r="G45" s="709"/>
    </row>
    <row r="46" spans="3:7" x14ac:dyDescent="0.25">
      <c r="C46" s="709"/>
      <c r="D46" s="709"/>
      <c r="E46" s="709"/>
      <c r="F46" s="709"/>
      <c r="G46" s="709"/>
    </row>
    <row r="51" spans="3:6" ht="23.25" x14ac:dyDescent="0.35">
      <c r="C51" s="123" t="s">
        <v>330</v>
      </c>
    </row>
    <row r="52" spans="3:6" ht="15" customHeight="1" x14ac:dyDescent="0.3">
      <c r="C52" s="174" t="s">
        <v>349</v>
      </c>
    </row>
    <row r="53" spans="3:6" ht="15" customHeight="1" x14ac:dyDescent="0.25">
      <c r="C53" s="140" t="s">
        <v>350</v>
      </c>
    </row>
    <row r="54" spans="3:6" ht="15" customHeight="1" x14ac:dyDescent="0.25">
      <c r="C54" s="140" t="s">
        <v>371</v>
      </c>
    </row>
    <row r="55" spans="3:6" ht="15" customHeight="1" x14ac:dyDescent="0.25"/>
    <row r="56" spans="3:6" ht="15" customHeight="1" x14ac:dyDescent="0.3">
      <c r="C56" s="174" t="s">
        <v>675</v>
      </c>
    </row>
    <row r="57" spans="3:6" ht="15" customHeight="1" x14ac:dyDescent="0.25">
      <c r="C57" s="716" t="s">
        <v>344</v>
      </c>
      <c r="D57" s="717"/>
      <c r="E57" s="718"/>
      <c r="F57" s="142" t="s">
        <v>348</v>
      </c>
    </row>
    <row r="58" spans="3:6" ht="15" customHeight="1" x14ac:dyDescent="0.25">
      <c r="C58" s="713" t="s">
        <v>345</v>
      </c>
      <c r="D58" s="714"/>
      <c r="E58" s="715"/>
      <c r="F58" s="142" t="s">
        <v>347</v>
      </c>
    </row>
    <row r="59" spans="3:6" ht="15" customHeight="1" x14ac:dyDescent="0.25">
      <c r="C59" s="705" t="s">
        <v>352</v>
      </c>
      <c r="D59" s="706"/>
      <c r="E59" s="707"/>
      <c r="F59" s="142" t="s">
        <v>351</v>
      </c>
    </row>
    <row r="60" spans="3:6" ht="15" customHeight="1" x14ac:dyDescent="0.25">
      <c r="C60" s="710" t="s">
        <v>343</v>
      </c>
      <c r="D60" s="711"/>
      <c r="E60" s="712"/>
      <c r="F60" s="142" t="s">
        <v>346</v>
      </c>
    </row>
    <row r="61" spans="3:6" ht="15" customHeight="1" x14ac:dyDescent="0.25"/>
    <row r="62" spans="3:6" ht="15" customHeight="1" x14ac:dyDescent="0.3">
      <c r="C62" s="174" t="s">
        <v>353</v>
      </c>
    </row>
    <row r="63" spans="3:6" ht="15" customHeight="1" x14ac:dyDescent="0.25">
      <c r="C63" s="140" t="s">
        <v>354</v>
      </c>
    </row>
    <row r="64" spans="3:6" ht="15" customHeight="1" x14ac:dyDescent="0.25"/>
    <row r="65" spans="3:8" ht="15" customHeight="1" x14ac:dyDescent="0.3">
      <c r="C65" s="174" t="s">
        <v>355</v>
      </c>
    </row>
    <row r="66" spans="3:8" ht="15" customHeight="1" x14ac:dyDescent="0.25">
      <c r="C66" s="696" t="s">
        <v>366</v>
      </c>
      <c r="D66" s="696"/>
      <c r="E66" s="696"/>
      <c r="F66" s="696"/>
      <c r="G66" s="696"/>
      <c r="H66" s="696"/>
    </row>
    <row r="67" spans="3:8" ht="15" customHeight="1" x14ac:dyDescent="0.25">
      <c r="C67" s="696"/>
      <c r="D67" s="696"/>
      <c r="E67" s="696"/>
      <c r="F67" s="696"/>
      <c r="G67" s="696"/>
      <c r="H67" s="696"/>
    </row>
    <row r="68" spans="3:8" ht="15" customHeight="1" x14ac:dyDescent="0.25">
      <c r="C68" s="696"/>
      <c r="D68" s="696"/>
      <c r="E68" s="696"/>
      <c r="F68" s="696"/>
      <c r="G68" s="696"/>
      <c r="H68" s="696"/>
    </row>
    <row r="69" spans="3:8" ht="15" customHeight="1" x14ac:dyDescent="0.25"/>
    <row r="70" spans="3:8" ht="15" customHeight="1" x14ac:dyDescent="0.3">
      <c r="C70" s="174" t="s">
        <v>356</v>
      </c>
    </row>
    <row r="71" spans="3:8" ht="15" customHeight="1" x14ac:dyDescent="0.25">
      <c r="C71" s="708" t="s">
        <v>357</v>
      </c>
      <c r="D71" s="708"/>
      <c r="E71" s="708"/>
      <c r="F71" s="708"/>
      <c r="G71" s="708"/>
      <c r="H71" s="708"/>
    </row>
    <row r="72" spans="3:8" ht="15" customHeight="1" x14ac:dyDescent="0.25"/>
    <row r="73" spans="3:8" ht="10.5" customHeight="1" x14ac:dyDescent="0.25"/>
    <row r="74" spans="3:8" ht="23.25" x14ac:dyDescent="0.35">
      <c r="C74" s="123" t="s">
        <v>292</v>
      </c>
    </row>
    <row r="76" spans="3:8" ht="15.75" customHeight="1" x14ac:dyDescent="0.25">
      <c r="C76" s="699" t="s">
        <v>324</v>
      </c>
      <c r="D76" s="699"/>
      <c r="E76" s="699"/>
      <c r="F76" s="699"/>
      <c r="G76" s="699"/>
    </row>
    <row r="77" spans="3:8" x14ac:dyDescent="0.25">
      <c r="C77" s="699"/>
      <c r="D77" s="699"/>
      <c r="E77" s="699"/>
      <c r="F77" s="699"/>
      <c r="G77" s="699"/>
    </row>
    <row r="78" spans="3:8" x14ac:dyDescent="0.25">
      <c r="C78" s="130"/>
      <c r="D78" s="130"/>
      <c r="E78" s="130"/>
      <c r="F78" s="130"/>
      <c r="G78" s="130"/>
    </row>
    <row r="79" spans="3:8" ht="15.75" customHeight="1" x14ac:dyDescent="0.25">
      <c r="C79" s="696" t="s">
        <v>325</v>
      </c>
      <c r="D79" s="696"/>
      <c r="E79" s="696"/>
      <c r="F79" s="696"/>
      <c r="G79" s="696"/>
    </row>
    <row r="80" spans="3:8" x14ac:dyDescent="0.25">
      <c r="C80" s="696"/>
      <c r="D80" s="696"/>
      <c r="E80" s="696"/>
      <c r="F80" s="696"/>
      <c r="G80" s="696"/>
    </row>
    <row r="81" spans="3:7" x14ac:dyDescent="0.25">
      <c r="C81" s="696"/>
      <c r="D81" s="696"/>
      <c r="E81" s="696"/>
      <c r="F81" s="696"/>
      <c r="G81" s="696"/>
    </row>
    <row r="82" spans="3:7" x14ac:dyDescent="0.25">
      <c r="C82" s="696"/>
      <c r="D82" s="696"/>
      <c r="E82" s="696"/>
      <c r="F82" s="696"/>
      <c r="G82" s="696"/>
    </row>
    <row r="83" spans="3:7" x14ac:dyDescent="0.25">
      <c r="C83" s="696"/>
      <c r="D83" s="696"/>
      <c r="E83" s="696"/>
      <c r="F83" s="696"/>
      <c r="G83" s="696"/>
    </row>
    <row r="87" spans="3:7" ht="23.25" x14ac:dyDescent="0.35">
      <c r="C87" s="123" t="s">
        <v>326</v>
      </c>
    </row>
    <row r="88" spans="3:7" x14ac:dyDescent="0.25">
      <c r="C88" s="696" t="s">
        <v>327</v>
      </c>
      <c r="D88" s="696"/>
      <c r="E88" s="696"/>
      <c r="F88" s="696"/>
      <c r="G88" s="696"/>
    </row>
    <row r="89" spans="3:7" ht="15.75" customHeight="1" x14ac:dyDescent="0.25">
      <c r="C89" s="696"/>
      <c r="D89" s="696"/>
      <c r="E89" s="696"/>
      <c r="F89" s="696"/>
      <c r="G89" s="696"/>
    </row>
    <row r="90" spans="3:7" ht="15.75" customHeight="1" x14ac:dyDescent="0.25">
      <c r="C90" s="696"/>
      <c r="D90" s="696"/>
      <c r="E90" s="696"/>
      <c r="F90" s="696"/>
      <c r="G90" s="696"/>
    </row>
    <row r="91" spans="3:7" x14ac:dyDescent="0.25">
      <c r="C91" s="696"/>
      <c r="D91" s="696"/>
      <c r="E91" s="696"/>
      <c r="F91" s="696"/>
      <c r="G91" s="696"/>
    </row>
    <row r="92" spans="3:7" x14ac:dyDescent="0.25">
      <c r="C92" s="129"/>
      <c r="D92" s="129"/>
      <c r="E92" s="129"/>
      <c r="F92" s="129"/>
      <c r="G92" s="129"/>
    </row>
    <row r="93" spans="3:7" x14ac:dyDescent="0.25">
      <c r="C93" s="696" t="s">
        <v>328</v>
      </c>
      <c r="D93" s="696"/>
      <c r="E93" s="696"/>
      <c r="F93" s="696"/>
      <c r="G93" s="696"/>
    </row>
    <row r="94" spans="3:7" ht="15.75" customHeight="1" x14ac:dyDescent="0.25">
      <c r="C94" s="696"/>
      <c r="D94" s="696"/>
      <c r="E94" s="696"/>
      <c r="F94" s="696"/>
      <c r="G94" s="696"/>
    </row>
    <row r="95" spans="3:7" x14ac:dyDescent="0.25">
      <c r="C95" s="696"/>
      <c r="D95" s="696"/>
      <c r="E95" s="696"/>
      <c r="F95" s="696"/>
      <c r="G95" s="696"/>
    </row>
    <row r="96" spans="3:7" x14ac:dyDescent="0.25">
      <c r="C96" s="696"/>
      <c r="D96" s="696"/>
      <c r="E96" s="696"/>
      <c r="F96" s="696"/>
      <c r="G96" s="696"/>
    </row>
    <row r="97" spans="3:7" x14ac:dyDescent="0.25">
      <c r="C97" s="696"/>
      <c r="D97" s="696"/>
      <c r="E97" s="696"/>
      <c r="F97" s="696"/>
      <c r="G97" s="696"/>
    </row>
    <row r="98" spans="3:7" x14ac:dyDescent="0.25">
      <c r="C98" s="696"/>
      <c r="D98" s="696"/>
      <c r="E98" s="696"/>
      <c r="F98" s="696"/>
      <c r="G98" s="696"/>
    </row>
    <row r="102" spans="3:7" ht="23.25" x14ac:dyDescent="0.35">
      <c r="C102" s="123" t="s">
        <v>740</v>
      </c>
    </row>
    <row r="103" spans="3:7" ht="20.100000000000001" customHeight="1" x14ac:dyDescent="0.35">
      <c r="C103" s="123"/>
    </row>
    <row r="104" spans="3:7" ht="15.75" customHeight="1" x14ac:dyDescent="0.25">
      <c r="C104" s="699" t="s">
        <v>741</v>
      </c>
      <c r="D104" s="699"/>
      <c r="E104" s="699"/>
      <c r="F104" s="699"/>
      <c r="G104" s="699"/>
    </row>
    <row r="105" spans="3:7" x14ac:dyDescent="0.25">
      <c r="C105" s="699"/>
      <c r="D105" s="699"/>
      <c r="E105" s="699"/>
      <c r="F105" s="699"/>
      <c r="G105" s="699"/>
    </row>
    <row r="106" spans="3:7" x14ac:dyDescent="0.25">
      <c r="C106" s="699"/>
      <c r="D106" s="699"/>
      <c r="E106" s="699"/>
      <c r="F106" s="699"/>
      <c r="G106" s="699"/>
    </row>
    <row r="107" spans="3:7" x14ac:dyDescent="0.25">
      <c r="C107" s="699"/>
      <c r="D107" s="699"/>
      <c r="E107" s="699"/>
      <c r="F107" s="699"/>
      <c r="G107" s="699"/>
    </row>
    <row r="116" spans="3:20" ht="23.25" x14ac:dyDescent="0.35">
      <c r="C116" s="123" t="s">
        <v>329</v>
      </c>
      <c r="J116" s="126" t="s">
        <v>680</v>
      </c>
      <c r="L116" s="126"/>
      <c r="M116" s="126"/>
      <c r="N116" s="697" t="s">
        <v>322</v>
      </c>
      <c r="O116" s="697"/>
      <c r="P116" s="697"/>
      <c r="Q116" s="697"/>
      <c r="R116" s="697"/>
      <c r="S116" s="697"/>
      <c r="T116" s="697"/>
    </row>
    <row r="117" spans="3:20" ht="15.75" customHeight="1" x14ac:dyDescent="0.25">
      <c r="D117" s="127"/>
      <c r="E117" s="127"/>
      <c r="F117" s="127"/>
      <c r="G117" s="127"/>
      <c r="H117" s="127"/>
      <c r="I117" s="127"/>
      <c r="J117" s="126"/>
      <c r="K117" s="126"/>
      <c r="L117" s="126"/>
      <c r="M117" s="126"/>
      <c r="N117" s="126"/>
      <c r="O117" s="126"/>
      <c r="P117" s="126"/>
      <c r="Q117" s="126"/>
      <c r="R117" s="126"/>
      <c r="S117" s="126"/>
      <c r="T117" s="126"/>
    </row>
    <row r="118" spans="3:20" ht="15.75" customHeight="1" x14ac:dyDescent="0.25">
      <c r="C118" s="696" t="s">
        <v>321</v>
      </c>
      <c r="D118" s="696"/>
      <c r="E118" s="696"/>
      <c r="F118" s="696"/>
      <c r="G118" s="696"/>
      <c r="H118" s="696"/>
      <c r="I118" s="696"/>
    </row>
    <row r="119" spans="3:20" ht="15.75" customHeight="1" x14ac:dyDescent="0.25">
      <c r="C119" s="696"/>
      <c r="D119" s="696"/>
      <c r="E119" s="696"/>
      <c r="F119" s="696"/>
      <c r="G119" s="696"/>
      <c r="H119" s="696"/>
      <c r="I119" s="696"/>
    </row>
    <row r="120" spans="3:20" ht="15.75" customHeight="1" x14ac:dyDescent="0.25">
      <c r="C120" s="696"/>
      <c r="D120" s="696"/>
      <c r="E120" s="696"/>
      <c r="F120" s="696"/>
      <c r="G120" s="696"/>
      <c r="H120" s="696"/>
      <c r="I120" s="696"/>
    </row>
    <row r="121" spans="3:20" ht="15.75" customHeight="1" x14ac:dyDescent="0.25">
      <c r="C121" s="128"/>
      <c r="D121" s="128"/>
      <c r="E121" s="128"/>
      <c r="F121" s="128"/>
      <c r="G121" s="128"/>
      <c r="H121" s="128"/>
      <c r="I121" s="128"/>
    </row>
    <row r="122" spans="3:20" ht="15.75" customHeight="1" x14ac:dyDescent="0.25">
      <c r="C122" s="696" t="s">
        <v>320</v>
      </c>
      <c r="D122" s="696"/>
      <c r="E122" s="696"/>
      <c r="F122" s="696"/>
      <c r="G122" s="696"/>
      <c r="H122" s="696"/>
      <c r="I122" s="696"/>
    </row>
    <row r="123" spans="3:20" x14ac:dyDescent="0.25">
      <c r="C123" s="696"/>
      <c r="D123" s="696"/>
      <c r="E123" s="696"/>
      <c r="F123" s="696"/>
      <c r="G123" s="696"/>
      <c r="H123" s="696"/>
      <c r="I123" s="696"/>
    </row>
    <row r="124" spans="3:20" x14ac:dyDescent="0.25">
      <c r="C124" s="696"/>
      <c r="D124" s="696"/>
      <c r="E124" s="696"/>
      <c r="F124" s="696"/>
      <c r="G124" s="696"/>
      <c r="H124" s="696"/>
      <c r="I124" s="696"/>
    </row>
    <row r="125" spans="3:20" x14ac:dyDescent="0.25">
      <c r="C125" s="696"/>
      <c r="D125" s="696"/>
      <c r="E125" s="696"/>
      <c r="F125" s="696"/>
      <c r="G125" s="696"/>
      <c r="H125" s="696"/>
      <c r="I125" s="696"/>
    </row>
    <row r="126" spans="3:20" x14ac:dyDescent="0.25">
      <c r="K126" s="695" t="s">
        <v>323</v>
      </c>
      <c r="L126" s="695"/>
      <c r="M126" s="695"/>
      <c r="N126" s="695"/>
      <c r="O126" s="695"/>
      <c r="P126" s="695"/>
      <c r="Q126" s="695"/>
      <c r="R126" s="695"/>
      <c r="S126" s="695"/>
    </row>
    <row r="129" spans="3:3" ht="23.25" x14ac:dyDescent="0.35">
      <c r="C129" s="123" t="s">
        <v>331</v>
      </c>
    </row>
    <row r="131" spans="3:3" x14ac:dyDescent="0.25">
      <c r="C131" s="140" t="s">
        <v>333</v>
      </c>
    </row>
    <row r="141" spans="3:3" ht="23.25" x14ac:dyDescent="0.35">
      <c r="C141" s="123" t="s">
        <v>293</v>
      </c>
    </row>
    <row r="142" spans="3:3" ht="18.75" x14ac:dyDescent="0.3">
      <c r="C142" s="124" t="s">
        <v>317</v>
      </c>
    </row>
    <row r="143" spans="3:3" ht="18.75" x14ac:dyDescent="0.3">
      <c r="C143" s="124" t="s">
        <v>318</v>
      </c>
    </row>
    <row r="144" spans="3:3" ht="18.75" x14ac:dyDescent="0.3">
      <c r="C144" s="124" t="s">
        <v>319</v>
      </c>
    </row>
    <row r="145" spans="3:3" ht="18.75" x14ac:dyDescent="0.3">
      <c r="C145" s="125"/>
    </row>
  </sheetData>
  <sheetProtection password="DF8E" sheet="1" objects="1" scenarios="1"/>
  <protectedRanges>
    <protectedRange sqref="O5:T8" name="Range1_4_2_1_1"/>
  </protectedRanges>
  <mergeCells count="22">
    <mergeCell ref="B2:T2"/>
    <mergeCell ref="C59:E59"/>
    <mergeCell ref="C66:H68"/>
    <mergeCell ref="C71:H71"/>
    <mergeCell ref="C39:G46"/>
    <mergeCell ref="C60:E60"/>
    <mergeCell ref="C58:E58"/>
    <mergeCell ref="C57:E57"/>
    <mergeCell ref="C14:G16"/>
    <mergeCell ref="K126:S126"/>
    <mergeCell ref="C118:I120"/>
    <mergeCell ref="C122:I125"/>
    <mergeCell ref="N116:T116"/>
    <mergeCell ref="O3:T3"/>
    <mergeCell ref="C79:G83"/>
    <mergeCell ref="C76:G77"/>
    <mergeCell ref="C93:G98"/>
    <mergeCell ref="C25:G27"/>
    <mergeCell ref="C10:T10"/>
    <mergeCell ref="D4:L6"/>
    <mergeCell ref="C88:G91"/>
    <mergeCell ref="C104:G107"/>
  </mergeCells>
  <dataValidations count="2">
    <dataValidation allowBlank="1" showInputMessage="1" showErrorMessage="1" prompt="Enter value in decimals" sqref="Q5:Q8" xr:uid="{00000000-0002-0000-0600-000000000000}"/>
    <dataValidation type="list" allowBlank="1" showInputMessage="1" showErrorMessage="1" sqref="P5:P8 S5:S8" xr:uid="{00000000-0002-0000-0600-000001000000}">
      <formula1>$W$4:$W$6</formula1>
    </dataValidation>
  </dataValidations>
  <hyperlinks>
    <hyperlink ref="C142" r:id="rId1" xr:uid="{00000000-0004-0000-0600-000000000000}"/>
    <hyperlink ref="C143" r:id="rId2" xr:uid="{00000000-0004-0000-0600-000001000000}"/>
    <hyperlink ref="C144" r:id="rId3" xr:uid="{00000000-0004-0000-0600-000002000000}"/>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HOME</vt:lpstr>
      <vt:lpstr>A1O</vt:lpstr>
      <vt:lpstr>AR1I</vt:lpstr>
      <vt:lpstr>AveLoss</vt:lpstr>
      <vt:lpstr>AvePosLoss</vt:lpstr>
      <vt:lpstr>AvePosWin</vt:lpstr>
      <vt:lpstr>AveWin</vt:lpstr>
      <vt:lpstr>Equity</vt:lpstr>
      <vt:lpstr>PositionPer</vt:lpstr>
      <vt:lpstr>REGNAME</vt:lpstr>
      <vt:lpstr>Return</vt:lpstr>
      <vt:lpstr>RiskPerTrade</vt:lpstr>
      <vt:lpstr>WinRate</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Management Spreadsheet</dc:title>
  <dc:creator>AA Excel Spreadsheet</dc:creator>
  <cp:lastModifiedBy>USER</cp:lastModifiedBy>
  <dcterms:created xsi:type="dcterms:W3CDTF">2016-10-21T06:11:34Z</dcterms:created>
  <dcterms:modified xsi:type="dcterms:W3CDTF">2021-08-05T06:57:28Z</dcterms:modified>
  <cp:category>Stock Trading</cp:category>
</cp:coreProperties>
</file>